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clauv\Desktop\SEMINARIOS TRIBUTARIOS\Seminario Tributario AT2018\"/>
    </mc:Choice>
  </mc:AlternateContent>
  <bookViews>
    <workbookView xWindow="0" yWindow="0" windowWidth="20490" windowHeight="7755" tabRatio="850" firstSheet="1" activeTab="5" xr2:uid="{00000000-000D-0000-FFFF-FFFF00000000}"/>
  </bookViews>
  <sheets>
    <sheet name="Planteamiento Ejercicio n°1" sheetId="7" r:id="rId1"/>
    <sheet name="Desarrollo Ejercicio n°1 A" sheetId="8" r:id="rId2"/>
    <sheet name="Desarrollo Ejercicio n°1 B y C" sheetId="9" r:id="rId3"/>
    <sheet name="Planteamiento Ejercicio n°2" sheetId="10" r:id="rId4"/>
    <sheet name="Desarrollo Ejercicio n°2 A" sheetId="11" r:id="rId5"/>
    <sheet name="Desarrollo Ejercicio n°2 B y C" sheetId="12" r:id="rId6"/>
    <sheet name="Planteamiento Ejercicio n°3" sheetId="13" r:id="rId7"/>
    <sheet name="Desarrollo Ejercicio n°3 A" sheetId="14" r:id="rId8"/>
    <sheet name="Desarrollo Ejercicio n°3 B y C" sheetId="15" r:id="rId9"/>
    <sheet name="Planteamiento Ejercicio n°4" sheetId="16" r:id="rId10"/>
    <sheet name="Desarrollo Ejercicio n°4 A" sheetId="17" r:id="rId11"/>
    <sheet name="Desarrollo Ejercicio n°4 B y C" sheetId="18" r:id="rId12"/>
  </sheets>
  <definedNames>
    <definedName name="_xlnm.Print_Area" localSheetId="1">'Desarrollo Ejercicio n°1 A'!$B$2:$G$41</definedName>
    <definedName name="_xlnm.Print_Area" localSheetId="2">'Desarrollo Ejercicio n°1 B y C'!$B$2:$L$49</definedName>
    <definedName name="_xlnm.Print_Area" localSheetId="4">'Desarrollo Ejercicio n°2 A'!$B$2:$H$44</definedName>
    <definedName name="_xlnm.Print_Area" localSheetId="5">'Desarrollo Ejercicio n°2 B y C'!$B$2:$L$56</definedName>
    <definedName name="_xlnm.Print_Area" localSheetId="7">'Desarrollo Ejercicio n°3 A'!$B$2:$H$30</definedName>
    <definedName name="_xlnm.Print_Area" localSheetId="8">'Desarrollo Ejercicio n°3 B y C'!$B$2:$L$79</definedName>
    <definedName name="_xlnm.Print_Area" localSheetId="10">'Desarrollo Ejercicio n°4 A'!$B$2:$H$29</definedName>
    <definedName name="_xlnm.Print_Area" localSheetId="11">'Desarrollo Ejercicio n°4 B y C'!$B$2:$M$89</definedName>
    <definedName name="_xlnm.Print_Area" localSheetId="0">'Planteamiento Ejercicio n°1'!$B$2:$K$58</definedName>
    <definedName name="_xlnm.Print_Area" localSheetId="3">'Planteamiento Ejercicio n°2'!$B$2:$J$71</definedName>
    <definedName name="_xlnm.Print_Area" localSheetId="6">'Planteamiento Ejercicio n°3'!$B$2:$J$62</definedName>
    <definedName name="_xlnm.Print_Area" localSheetId="9">'Planteamiento Ejercicio n°4'!$B$2:$J$75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2" l="1"/>
  <c r="F23" i="10"/>
  <c r="F34" i="8"/>
  <c r="F39" i="8"/>
  <c r="P14" i="18" l="1"/>
  <c r="P15" i="18" s="1"/>
  <c r="L18" i="18" s="1"/>
  <c r="F24" i="16" l="1"/>
  <c r="F19" i="16" s="1"/>
  <c r="I22" i="12"/>
  <c r="H22" i="12"/>
  <c r="K20" i="12"/>
  <c r="F54" i="12"/>
  <c r="F53" i="12"/>
  <c r="E34" i="11"/>
  <c r="E35" i="11" s="1"/>
  <c r="G35" i="11" s="1"/>
  <c r="G28" i="11"/>
  <c r="I86" i="18" l="1"/>
  <c r="K81" i="18"/>
  <c r="L81" i="18" s="1"/>
  <c r="D76" i="18"/>
  <c r="D31" i="18" s="1"/>
  <c r="D75" i="18"/>
  <c r="D22" i="18" s="1"/>
  <c r="D23" i="18" s="1"/>
  <c r="E71" i="18"/>
  <c r="C67" i="18"/>
  <c r="D67" i="18" s="1"/>
  <c r="F67" i="18" s="1"/>
  <c r="G43" i="18" s="1"/>
  <c r="D52" i="18"/>
  <c r="I52" i="18" s="1"/>
  <c r="I41" i="18"/>
  <c r="F18" i="18"/>
  <c r="E18" i="18" s="1"/>
  <c r="J16" i="18"/>
  <c r="J19" i="18" s="1"/>
  <c r="I16" i="18"/>
  <c r="I19" i="18" s="1"/>
  <c r="I26" i="18" s="1"/>
  <c r="H16" i="18"/>
  <c r="H19" i="18" s="1"/>
  <c r="G16" i="18"/>
  <c r="G19" i="18" s="1"/>
  <c r="G26" i="18" s="1"/>
  <c r="L14" i="18"/>
  <c r="K14" i="18"/>
  <c r="K15" i="18" s="1"/>
  <c r="K13" i="18"/>
  <c r="O29" i="17"/>
  <c r="O28" i="17"/>
  <c r="F21" i="17"/>
  <c r="G26" i="17" s="1"/>
  <c r="D21" i="17"/>
  <c r="L20" i="17"/>
  <c r="L19" i="17"/>
  <c r="F19" i="17"/>
  <c r="L18" i="17"/>
  <c r="F10" i="17"/>
  <c r="G15" i="17" s="1"/>
  <c r="L23" i="18" l="1"/>
  <c r="K23" i="18" s="1"/>
  <c r="F23" i="18"/>
  <c r="E23" i="18" s="1"/>
  <c r="G27" i="18"/>
  <c r="H26" i="18"/>
  <c r="I27" i="18"/>
  <c r="I28" i="18" s="1"/>
  <c r="I35" i="18" s="1"/>
  <c r="I36" i="18" s="1"/>
  <c r="J26" i="18"/>
  <c r="M81" i="18"/>
  <c r="M82" i="18" s="1"/>
  <c r="D86" i="18" s="1"/>
  <c r="E43" i="18"/>
  <c r="F14" i="18"/>
  <c r="F15" i="18" s="1"/>
  <c r="E15" i="18" s="1"/>
  <c r="L15" i="18"/>
  <c r="L16" i="18" s="1"/>
  <c r="L19" i="18" s="1"/>
  <c r="L26" i="18" s="1"/>
  <c r="L21" i="17"/>
  <c r="F18" i="17" s="1"/>
  <c r="G61" i="16" s="1"/>
  <c r="I85" i="18" s="1"/>
  <c r="E75" i="18"/>
  <c r="F75" i="18" s="1"/>
  <c r="H75" i="18" s="1"/>
  <c r="K16" i="18"/>
  <c r="K19" i="18" s="1"/>
  <c r="E67" i="18"/>
  <c r="D24" i="18"/>
  <c r="J76" i="15"/>
  <c r="D76" i="15"/>
  <c r="F66" i="15"/>
  <c r="D36" i="15" s="1"/>
  <c r="F65" i="15"/>
  <c r="E61" i="15"/>
  <c r="C57" i="15"/>
  <c r="D57" i="15" s="1"/>
  <c r="F57" i="15" s="1"/>
  <c r="G25" i="15" s="1"/>
  <c r="D40" i="15"/>
  <c r="I40" i="15" s="1"/>
  <c r="K28" i="15"/>
  <c r="K42" i="15" s="1"/>
  <c r="J28" i="15"/>
  <c r="J42" i="15" s="1"/>
  <c r="H28" i="15"/>
  <c r="H42" i="15" s="1"/>
  <c r="I23" i="15"/>
  <c r="D17" i="15"/>
  <c r="D19" i="15" s="1"/>
  <c r="E14" i="15"/>
  <c r="F22" i="14"/>
  <c r="G27" i="14" s="1"/>
  <c r="D22" i="14"/>
  <c r="F20" i="14"/>
  <c r="E57" i="15" s="1"/>
  <c r="F19" i="14"/>
  <c r="J75" i="15" s="1"/>
  <c r="F11" i="14"/>
  <c r="G16" i="14" s="1"/>
  <c r="O45" i="13"/>
  <c r="O44" i="13"/>
  <c r="O43" i="13"/>
  <c r="O46" i="13" l="1"/>
  <c r="F67" i="15"/>
  <c r="G21" i="17"/>
  <c r="G23" i="17" s="1"/>
  <c r="K26" i="18"/>
  <c r="K27" i="18" s="1"/>
  <c r="K28" i="18" s="1"/>
  <c r="J27" i="18"/>
  <c r="G28" i="18"/>
  <c r="G35" i="18" s="1"/>
  <c r="G36" i="18" s="1"/>
  <c r="H27" i="18"/>
  <c r="H28" i="18" s="1"/>
  <c r="I37" i="18"/>
  <c r="E14" i="18"/>
  <c r="I80" i="18" s="1"/>
  <c r="L27" i="18"/>
  <c r="L28" i="18" s="1"/>
  <c r="D31" i="15"/>
  <c r="F16" i="18"/>
  <c r="F19" i="18" s="1"/>
  <c r="G25" i="17"/>
  <c r="G28" i="17" s="1"/>
  <c r="I84" i="18"/>
  <c r="G28" i="15"/>
  <c r="E25" i="15"/>
  <c r="J73" i="15"/>
  <c r="D72" i="15"/>
  <c r="G22" i="14"/>
  <c r="G24" i="14" s="1"/>
  <c r="D27" i="12"/>
  <c r="F55" i="12"/>
  <c r="G53" i="12" s="1"/>
  <c r="E50" i="12"/>
  <c r="C47" i="12"/>
  <c r="D47" i="12" s="1"/>
  <c r="F47" i="12" s="1"/>
  <c r="G18" i="12" s="1"/>
  <c r="G22" i="12" s="1"/>
  <c r="D24" i="12"/>
  <c r="I31" i="12"/>
  <c r="H31" i="12"/>
  <c r="F21" i="12"/>
  <c r="E21" i="12" s="1"/>
  <c r="K14" i="12"/>
  <c r="K15" i="12" s="1"/>
  <c r="K22" i="12" s="1"/>
  <c r="J14" i="12"/>
  <c r="J15" i="12" s="1"/>
  <c r="J22" i="12" s="1"/>
  <c r="E14" i="12"/>
  <c r="E13" i="12"/>
  <c r="F23" i="11"/>
  <c r="G41" i="11" s="1"/>
  <c r="D23" i="11"/>
  <c r="L22" i="11"/>
  <c r="L21" i="11"/>
  <c r="F21" i="11"/>
  <c r="E47" i="12" s="1"/>
  <c r="L20" i="11"/>
  <c r="T13" i="11"/>
  <c r="T14" i="11" s="1"/>
  <c r="F12" i="11"/>
  <c r="G17" i="11" s="1"/>
  <c r="G58" i="10"/>
  <c r="F17" i="10"/>
  <c r="F21" i="10" s="1"/>
  <c r="F16" i="10"/>
  <c r="F47" i="9"/>
  <c r="F46" i="9"/>
  <c r="F48" i="9" s="1"/>
  <c r="E43" i="9"/>
  <c r="C43" i="9"/>
  <c r="C40" i="9"/>
  <c r="D40" i="9" s="1"/>
  <c r="F40" i="9" s="1"/>
  <c r="G14" i="9" s="1"/>
  <c r="D20" i="9"/>
  <c r="K17" i="9"/>
  <c r="K24" i="9" s="1"/>
  <c r="J17" i="9"/>
  <c r="J24" i="9" s="1"/>
  <c r="I17" i="9"/>
  <c r="I24" i="9" s="1"/>
  <c r="H17" i="9"/>
  <c r="H24" i="9" s="1"/>
  <c r="F16" i="9"/>
  <c r="E16" i="9" s="1"/>
  <c r="E11" i="9"/>
  <c r="D33" i="8"/>
  <c r="D34" i="8" s="1"/>
  <c r="F27" i="8"/>
  <c r="E22" i="8"/>
  <c r="C22" i="8"/>
  <c r="L21" i="8"/>
  <c r="L20" i="8"/>
  <c r="E20" i="8"/>
  <c r="E40" i="9" s="1"/>
  <c r="L19" i="8"/>
  <c r="E11" i="8"/>
  <c r="F16" i="8" s="1"/>
  <c r="K32" i="18" l="1"/>
  <c r="K35" i="18"/>
  <c r="K36" i="18" s="1"/>
  <c r="L23" i="11"/>
  <c r="H35" i="18"/>
  <c r="H36" i="18" s="1"/>
  <c r="I45" i="18"/>
  <c r="L22" i="8"/>
  <c r="E19" i="8" s="1"/>
  <c r="G45" i="7" s="1"/>
  <c r="F22" i="10"/>
  <c r="F18" i="10" s="1"/>
  <c r="U12" i="11"/>
  <c r="V12" i="11" s="1"/>
  <c r="E15" i="12"/>
  <c r="G37" i="18"/>
  <c r="J28" i="18"/>
  <c r="J35" i="18" s="1"/>
  <c r="J36" i="18" s="1"/>
  <c r="E16" i="18"/>
  <c r="E19" i="18" s="1"/>
  <c r="E26" i="18" s="1"/>
  <c r="F26" i="18"/>
  <c r="I87" i="18"/>
  <c r="D81" i="18" s="1"/>
  <c r="D28" i="12"/>
  <c r="G23" i="11"/>
  <c r="G25" i="11" s="1"/>
  <c r="G30" i="11" s="1"/>
  <c r="F17" i="12" s="1"/>
  <c r="F22" i="12" s="1"/>
  <c r="I40" i="18"/>
  <c r="J74" i="15"/>
  <c r="J77" i="15" s="1"/>
  <c r="D71" i="15" s="1"/>
  <c r="G26" i="14"/>
  <c r="G32" i="15"/>
  <c r="E18" i="12"/>
  <c r="T16" i="11"/>
  <c r="T17" i="11" s="1"/>
  <c r="F22" i="8"/>
  <c r="F24" i="8" s="1"/>
  <c r="F29" i="8" s="1"/>
  <c r="G17" i="9"/>
  <c r="E14" i="9"/>
  <c r="G47" i="9"/>
  <c r="D21" i="9"/>
  <c r="G46" i="9"/>
  <c r="G54" i="12"/>
  <c r="G45" i="18" l="1"/>
  <c r="G54" i="18" s="1"/>
  <c r="G32" i="11"/>
  <c r="E36" i="12"/>
  <c r="D36" i="12"/>
  <c r="H37" i="18"/>
  <c r="H45" i="18" s="1"/>
  <c r="H54" i="18" s="1"/>
  <c r="J37" i="18"/>
  <c r="F27" i="18"/>
  <c r="E27" i="18" s="1"/>
  <c r="F27" i="12"/>
  <c r="G28" i="12" s="1"/>
  <c r="F24" i="12"/>
  <c r="G65" i="16"/>
  <c r="G37" i="15"/>
  <c r="D48" i="15"/>
  <c r="E48" i="15" s="1"/>
  <c r="D78" i="15"/>
  <c r="F24" i="15" s="1"/>
  <c r="G52" i="13"/>
  <c r="G42" i="15"/>
  <c r="I22" i="15"/>
  <c r="I28" i="15" s="1"/>
  <c r="G29" i="14"/>
  <c r="D29" i="9"/>
  <c r="F13" i="9"/>
  <c r="F31" i="8"/>
  <c r="D22" i="9"/>
  <c r="E17" i="12"/>
  <c r="E22" i="12" s="1"/>
  <c r="J45" i="18" l="1"/>
  <c r="J54" i="18" s="1"/>
  <c r="G37" i="11"/>
  <c r="G40" i="11"/>
  <c r="G43" i="11" s="1"/>
  <c r="K37" i="18"/>
  <c r="F28" i="18"/>
  <c r="E37" i="12"/>
  <c r="E39" i="12" s="1"/>
  <c r="K28" i="12"/>
  <c r="J28" i="12" s="1"/>
  <c r="F31" i="12"/>
  <c r="E24" i="12"/>
  <c r="G25" i="12"/>
  <c r="I32" i="15"/>
  <c r="I37" i="15"/>
  <c r="F28" i="15"/>
  <c r="E24" i="15"/>
  <c r="E28" i="15" s="1"/>
  <c r="E27" i="12"/>
  <c r="E13" i="9"/>
  <c r="E17" i="9" s="1"/>
  <c r="F17" i="9"/>
  <c r="E29" i="9"/>
  <c r="E28" i="12"/>
  <c r="F38" i="8"/>
  <c r="F41" i="8" s="1"/>
  <c r="F36" i="8"/>
  <c r="K45" i="18" l="1"/>
  <c r="K54" i="18" s="1"/>
  <c r="D32" i="18"/>
  <c r="E28" i="18"/>
  <c r="E25" i="12"/>
  <c r="E31" i="12" s="1"/>
  <c r="D37" i="12"/>
  <c r="D39" i="12" s="1"/>
  <c r="K25" i="12"/>
  <c r="G31" i="12"/>
  <c r="I42" i="15"/>
  <c r="F32" i="15"/>
  <c r="F20" i="9"/>
  <c r="F21" i="9"/>
  <c r="F32" i="18" l="1"/>
  <c r="F35" i="18" s="1"/>
  <c r="F36" i="18" s="1"/>
  <c r="D58" i="18"/>
  <c r="E58" i="18"/>
  <c r="D33" i="18"/>
  <c r="E76" i="18"/>
  <c r="F76" i="18" s="1"/>
  <c r="H76" i="18" s="1"/>
  <c r="J25" i="12"/>
  <c r="J31" i="12" s="1"/>
  <c r="K31" i="12"/>
  <c r="D47" i="15"/>
  <c r="F37" i="15"/>
  <c r="E32" i="15"/>
  <c r="G20" i="9"/>
  <c r="G21" i="9"/>
  <c r="E30" i="9" s="1"/>
  <c r="E32" i="9" s="1"/>
  <c r="F24" i="9"/>
  <c r="E21" i="9" l="1"/>
  <c r="N31" i="12"/>
  <c r="E36" i="18"/>
  <c r="D83" i="18"/>
  <c r="D88" i="18" s="1"/>
  <c r="H77" i="18"/>
  <c r="D48" i="18"/>
  <c r="E32" i="18"/>
  <c r="E35" i="18" s="1"/>
  <c r="L32" i="18"/>
  <c r="D32" i="15"/>
  <c r="D33" i="15" s="1"/>
  <c r="D49" i="15" s="1"/>
  <c r="E49" i="15" s="1"/>
  <c r="E37" i="15"/>
  <c r="D37" i="15" s="1"/>
  <c r="D38" i="15" s="1"/>
  <c r="F42" i="15"/>
  <c r="E47" i="15"/>
  <c r="D30" i="9"/>
  <c r="D32" i="9" s="1"/>
  <c r="G24" i="9"/>
  <c r="E20" i="9"/>
  <c r="E24" i="9" s="1"/>
  <c r="O32" i="18" l="1"/>
  <c r="O33" i="18" s="1"/>
  <c r="L35" i="18"/>
  <c r="L36" i="18" s="1"/>
  <c r="F37" i="18"/>
  <c r="E37" i="18" s="1"/>
  <c r="F42" i="18"/>
  <c r="F45" i="18" s="1"/>
  <c r="D49" i="18"/>
  <c r="E59" i="18" s="1"/>
  <c r="E61" i="18" s="1"/>
  <c r="F48" i="18"/>
  <c r="D59" i="18"/>
  <c r="D61" i="18" s="1"/>
  <c r="E51" i="15"/>
  <c r="D51" i="15"/>
  <c r="E42" i="15"/>
  <c r="E48" i="18" l="1"/>
  <c r="I48" i="18"/>
  <c r="I54" i="18" s="1"/>
  <c r="F54" i="18"/>
  <c r="E42" i="18"/>
  <c r="E45" i="18" s="1"/>
  <c r="L37" i="18" l="1"/>
  <c r="E54" i="18"/>
  <c r="L45" i="18" l="1"/>
  <c r="L54" i="18" s="1"/>
</calcChain>
</file>

<file path=xl/sharedStrings.xml><?xml version="1.0" encoding="utf-8"?>
<sst xmlns="http://schemas.openxmlformats.org/spreadsheetml/2006/main" count="581" uniqueCount="232">
  <si>
    <t>Ejercicio N° 1: Sociedad acogido al 14 A</t>
  </si>
  <si>
    <r>
      <t xml:space="preserve">La Sociedad de Responsabilidad Limitada "Triple AAA", fue constituida en </t>
    </r>
    <r>
      <rPr>
        <b/>
        <u/>
        <sz val="10"/>
        <rFont val="Arial"/>
        <family val="2"/>
      </rPr>
      <t>"Enero del 2017"</t>
    </r>
    <r>
      <rPr>
        <sz val="10"/>
        <rFont val="Arial"/>
        <family val="2"/>
      </rPr>
      <t xml:space="preserve"> y se acogió al Régimen de Renta Atribuida "14 A LIR", formada por dos socios personas naturales y su giro comercial es de comercialización de productos médicos. Según lo antes descrito, la sociedad registra los siguientes antecedentes:</t>
    </r>
  </si>
  <si>
    <t>1.-</t>
  </si>
  <si>
    <t>Los socios personas naturales aportaron un Capital Inicial de $ 50.000.000, con una participación del 50% cada uno.</t>
  </si>
  <si>
    <t>2.-</t>
  </si>
  <si>
    <t>La Sociedad adquiere existencias (activos realizables) por un monto de $20.000.000, durante el año 2017</t>
  </si>
  <si>
    <t>3.-</t>
  </si>
  <si>
    <t>La sociedad en el transcurso del año, adquiere activos inmovilizados (Maquinarias, muebles y dos camionetas cabina simple) por un monto ascendente a $15.000.000, los asesores de la sociedad le recomiendan "acelerar" estos bienes tributariamente. Por lo anterior, se genera una DDAN "FUF" de $3.570.000</t>
  </si>
  <si>
    <t>4.-</t>
  </si>
  <si>
    <t>La Sociedad durante el transcurso del año, adquiere participación de "Doble BB SpA" acogida al régimen "14 B LIR Parcialmente Integrado", Por un monto de $10.000.000 (monto actualizado al cierre del 31.12.2017)</t>
  </si>
  <si>
    <t>5.-</t>
  </si>
  <si>
    <t>En el mes de diciembre de 2017, la Sociedad "Doble BB SpA" distribuye dividendos a "Triple AAA Ltda." por un monto de $2.000.000, dividendo que quedó en calidad de provisorio. Finalmente al cierre del ejercicio, este dividendo fue informado con un crédito del 25,5%. (Con D° a Devolución y Con Restitución)</t>
  </si>
  <si>
    <t>6.-</t>
  </si>
  <si>
    <t>Los socios de "Tiple AAA Ltda." deciden efectuar retiro de utilidades por $5.000.000 durante el año, según se detalla:</t>
  </si>
  <si>
    <t>Socio 1: Retira $3.000.000 en Julio</t>
  </si>
  <si>
    <t>Socio 2: Retira $2.000.000 en Octubre</t>
  </si>
  <si>
    <t>Datos para la confección de la RLI:</t>
  </si>
  <si>
    <t>a)</t>
  </si>
  <si>
    <t>Utilidad según balance al 31.12.2017</t>
  </si>
  <si>
    <t>b)</t>
  </si>
  <si>
    <r>
      <t>Agregados a la RLI</t>
    </r>
    <r>
      <rPr>
        <b/>
        <sz val="11"/>
        <color theme="1"/>
        <rFont val="Calibri"/>
        <family val="2"/>
        <scheme val="minor"/>
      </rPr>
      <t>:</t>
    </r>
  </si>
  <si>
    <t>Correción Monetaria existencias</t>
  </si>
  <si>
    <t>Correccion Monetaria Activo Fijo Tributario</t>
  </si>
  <si>
    <t>Provisión Vacaciones</t>
  </si>
  <si>
    <t>Depreciación Financiera</t>
  </si>
  <si>
    <t>Gastos por arriendo de Automóviles (Actualizados)</t>
  </si>
  <si>
    <t>Multas Fiscales (Actualizadas)</t>
  </si>
  <si>
    <t>c)</t>
  </si>
  <si>
    <r>
      <t>Deducción a la RLI</t>
    </r>
    <r>
      <rPr>
        <b/>
        <sz val="11"/>
        <color theme="1"/>
        <rFont val="Calibri"/>
        <family val="2"/>
        <scheme val="minor"/>
      </rPr>
      <t>:</t>
    </r>
  </si>
  <si>
    <t>Corrección Monetaria Capital Propio Tributario</t>
  </si>
  <si>
    <t>Depreciación Tributaria</t>
  </si>
  <si>
    <t>Dividendos percibidos (39 n°1 LIR)</t>
  </si>
  <si>
    <r>
      <rPr>
        <b/>
        <u/>
        <sz val="10"/>
        <rFont val="Arial"/>
        <family val="2"/>
      </rPr>
      <t>Supuestos</t>
    </r>
    <r>
      <rPr>
        <b/>
        <sz val="10"/>
        <rFont val="Arial"/>
        <family val="2"/>
      </rPr>
      <t xml:space="preserve">: </t>
    </r>
  </si>
  <si>
    <r>
      <rPr>
        <b/>
        <sz val="10"/>
        <rFont val="Arial"/>
        <family val="2"/>
      </rPr>
      <t>IPC 2017 igual a IPC 2016;</t>
    </r>
    <r>
      <rPr>
        <sz val="10"/>
        <rFont val="Arial"/>
        <family val="2"/>
      </rPr>
      <t xml:space="preserve"> para la confeccion e imputaciones a los registros RAP, DDAN, REX,SAC. Respectivamente</t>
    </r>
  </si>
  <si>
    <t xml:space="preserve">Se Pide: </t>
  </si>
  <si>
    <t>A</t>
  </si>
  <si>
    <t>Confeccionar RLI al 31.12.2017 incorpornando imputacion 33 n°5 LIR y determinar IDPC e IU (Gastos Rechazados)</t>
  </si>
  <si>
    <t>B</t>
  </si>
  <si>
    <t>Confeccionar RAP, DDAN, REX, SAC con sus imputaciones corresponientes</t>
  </si>
  <si>
    <t>C</t>
  </si>
  <si>
    <t>Informar acerca de la tributacion de sus propietarios</t>
  </si>
  <si>
    <t>Desarrollo Ejercicio Ejercicio N° 1: Sociedad acogido al 14 A</t>
  </si>
  <si>
    <t>A)</t>
  </si>
  <si>
    <t>Renta Líquida Imponible al 31.12.2017</t>
  </si>
  <si>
    <r>
      <t>Dividendos percibidos</t>
    </r>
    <r>
      <rPr>
        <b/>
        <sz val="10"/>
        <rFont val="Arial"/>
        <family val="2"/>
      </rPr>
      <t xml:space="preserve"> (39 n°1 LIR)</t>
    </r>
  </si>
  <si>
    <t>Base Imponible antes 33 n°5</t>
  </si>
  <si>
    <r>
      <t xml:space="preserve">Dividendos percibidos </t>
    </r>
    <r>
      <rPr>
        <b/>
        <sz val="10"/>
        <rFont val="Arial"/>
        <family val="2"/>
      </rPr>
      <t>(33 n°5 LIR)</t>
    </r>
  </si>
  <si>
    <r>
      <t xml:space="preserve">Incremento con tasa 25,5% </t>
    </r>
    <r>
      <rPr>
        <b/>
        <sz val="10"/>
        <rFont val="Arial"/>
        <family val="2"/>
      </rPr>
      <t>(33 n°5 LIR)</t>
    </r>
  </si>
  <si>
    <t>Renta Líquida Imponible 31.12.2017</t>
  </si>
  <si>
    <t>IDPC</t>
  </si>
  <si>
    <t>Crédito percibido 100% (Con D° Devolución)</t>
  </si>
  <si>
    <t>Crédito con Restitución proveniente 14 B (65%)</t>
  </si>
  <si>
    <t>IDPC a Pagar</t>
  </si>
  <si>
    <t>IU Gastos Rechazados</t>
  </si>
  <si>
    <t>Total a Pagar</t>
  </si>
  <si>
    <t>B) Registros RAP; DDAN; REX; SAC</t>
  </si>
  <si>
    <t>Detalle</t>
  </si>
  <si>
    <t>Control</t>
  </si>
  <si>
    <t>RAP</t>
  </si>
  <si>
    <t>DDAN</t>
  </si>
  <si>
    <t>REX</t>
  </si>
  <si>
    <t>SAC</t>
  </si>
  <si>
    <t>STUT</t>
  </si>
  <si>
    <t>A contar de 2017</t>
  </si>
  <si>
    <t>Hasta el 31.12.2016</t>
  </si>
  <si>
    <t>Remanente Ejercicio anterior</t>
  </si>
  <si>
    <t>Más:</t>
  </si>
  <si>
    <t>DDAN 31.12.2017</t>
  </si>
  <si>
    <t>Menos:</t>
  </si>
  <si>
    <t>Remanente depurado al 31.12.2017</t>
  </si>
  <si>
    <t xml:space="preserve">Imputación Retiros Socios </t>
  </si>
  <si>
    <t>Retiro Efectivo Socio n°1 Julio 2017</t>
  </si>
  <si>
    <t>Retiro Efectivo Socio n°2 Octubre 2017</t>
  </si>
  <si>
    <t>Total Retiros</t>
  </si>
  <si>
    <t>Remanente ejercicio Siguiente</t>
  </si>
  <si>
    <t>C) Tributación de los Socios</t>
  </si>
  <si>
    <t>Socio n°1</t>
  </si>
  <si>
    <t>Socio n°2</t>
  </si>
  <si>
    <t>Renta Atribuida</t>
  </si>
  <si>
    <t>Retiros afectos impuestos finales</t>
  </si>
  <si>
    <t>Monto sujeto a IGC</t>
  </si>
  <si>
    <t>Datos Complementarios para el Ejercicio:</t>
  </si>
  <si>
    <t>Valor AFT al 31.12.2017</t>
  </si>
  <si>
    <t>Normal</t>
  </si>
  <si>
    <t>Acelerada</t>
  </si>
  <si>
    <t>Dividendo Percibido en Diciembre</t>
  </si>
  <si>
    <t>Factor de Incremento 25,5%</t>
  </si>
  <si>
    <t>Crédito</t>
  </si>
  <si>
    <t>Retiros</t>
  </si>
  <si>
    <t>IPC</t>
  </si>
  <si>
    <t>Retiros CM</t>
  </si>
  <si>
    <t>%</t>
  </si>
  <si>
    <r>
      <t>Deducción o Desagregados a la RLI</t>
    </r>
    <r>
      <rPr>
        <b/>
        <sz val="11"/>
        <color theme="1"/>
        <rFont val="Calibri"/>
        <family val="2"/>
        <scheme val="minor"/>
      </rPr>
      <t>:</t>
    </r>
  </si>
  <si>
    <t>Con Devolución</t>
  </si>
  <si>
    <t>Capital</t>
  </si>
  <si>
    <t>C.M.</t>
  </si>
  <si>
    <t>Determinación IDPC</t>
  </si>
  <si>
    <t>Determinación del Saldo Total de Créditos (STC) y Saldos Total de Utilidades Tributarias (STUT) para el año 2017</t>
  </si>
  <si>
    <t>CRÉDITOS</t>
  </si>
  <si>
    <t>(*) TEF</t>
  </si>
  <si>
    <t>(*) Explicación TEF</t>
  </si>
  <si>
    <t>Saldo de Créditos</t>
  </si>
  <si>
    <t>Saldo de Utilidades (Netas)</t>
  </si>
  <si>
    <t>TEF</t>
  </si>
  <si>
    <t>Actividades realizadas en el año comercial 2017</t>
  </si>
  <si>
    <t>7.-</t>
  </si>
  <si>
    <t>Datos:</t>
  </si>
  <si>
    <t>Agregados a la RLI:</t>
  </si>
  <si>
    <t>Deducción o Desagregados a la RLI:</t>
  </si>
  <si>
    <t>Crédito de dividendos percibidos 100% (Con D° Devolución)</t>
  </si>
  <si>
    <t>B: Registros RAP; DDAN; REX; SAC</t>
  </si>
  <si>
    <t>Remanente anterior al 1° de Enero de 2017</t>
  </si>
  <si>
    <t>Reajuste Anual</t>
  </si>
  <si>
    <t>Pago IDPC Actualizado a Dic ($2.400.000 x 1,8%)</t>
  </si>
  <si>
    <t xml:space="preserve">Retiro Efectivo Socio n°1 </t>
  </si>
  <si>
    <t xml:space="preserve">Retiro Efectivo Socio n°2 </t>
  </si>
  <si>
    <t>Saldo al 31.12.2017</t>
  </si>
  <si>
    <r>
      <t xml:space="preserve">La Sociedad Anonima "Triple ZZZ", fue constituida en </t>
    </r>
    <r>
      <rPr>
        <b/>
        <u/>
        <sz val="10"/>
        <rFont val="Arial"/>
        <family val="2"/>
      </rPr>
      <t>"Enero del 2017"</t>
    </r>
    <r>
      <rPr>
        <sz val="10"/>
        <rFont val="Arial"/>
        <family val="2"/>
      </rPr>
      <t xml:space="preserve"> y se acogió al Régimen de Renta Parcialmente Integrada "14 B LIR", formada por dos accionistas, Persona Natural y Jurídica repectivamente; y el giro comercial de la sociedad es la comercialización de productos médicos. Según lo antes descrito, la sociedad registra los siguientes antecedentes:</t>
    </r>
  </si>
  <si>
    <t xml:space="preserve">Los accionistas suscribieron un Capital Inicial de $ 50.000.000 con una participación del 50% respectivamente. De lo anterior, sólo quedó por enterar $10.000.000 correspondiente al 50% de acuerdo al siguiente detalle: </t>
  </si>
  <si>
    <t xml:space="preserve">i) $5.000.000 de la personal natutal y; </t>
  </si>
  <si>
    <t xml:space="preserve">ii) $5.000.000 de la persona juridica. </t>
  </si>
  <si>
    <r>
      <rPr>
        <b/>
        <u/>
        <sz val="10"/>
        <rFont val="Arial"/>
        <family val="2"/>
      </rPr>
      <t>Nota:</t>
    </r>
    <r>
      <rPr>
        <sz val="10"/>
        <rFont val="Arial"/>
        <family val="2"/>
      </rPr>
      <t xml:space="preserve"> El saldo por enterar se pagará dentro de los próximos 3 años</t>
    </r>
  </si>
  <si>
    <t>La Sociedad durante el transcurso del año, adquiere participación de "XX SpA" acogida al régimen "14 B LIR Parcialmente Integrado", Por un monto de $10.000.000 (monto actualizado al cierre del 31.12.2017)</t>
  </si>
  <si>
    <t>En el mes de diciembre de 2017, la Sociedad "XX SpA" distribuye dividendos a "Triple ZZZ S.A." por un monto de $2.000.000, dividendo que quedó en calidad de provisorio. Finalmente al cierre del ejercicio, este dividendo fue informado con un crédito del 25,5%. (Con D° a Devolución y Con Restitución)</t>
  </si>
  <si>
    <t>Los accionistas de "Tiple ZZZ S.A." deciden efectuar distribución de dividendos por $8.000.000 en Octubre del 2017</t>
  </si>
  <si>
    <r>
      <t>Agregados en la RLI</t>
    </r>
    <r>
      <rPr>
        <b/>
        <sz val="11"/>
        <color theme="1"/>
        <rFont val="Calibri"/>
        <family val="2"/>
        <scheme val="minor"/>
      </rPr>
      <t>:</t>
    </r>
  </si>
  <si>
    <r>
      <t>Deducción en la RLI</t>
    </r>
    <r>
      <rPr>
        <b/>
        <sz val="11"/>
        <color theme="1"/>
        <rFont val="Calibri"/>
        <family val="2"/>
        <scheme val="minor"/>
      </rPr>
      <t>:</t>
    </r>
  </si>
  <si>
    <t>d)</t>
  </si>
  <si>
    <t>Capital propio tributario al 01.01.2018</t>
  </si>
  <si>
    <t>Supuestos: IPC 2017 igual a IPC 2016</t>
  </si>
  <si>
    <t>Confeccionar RLI al 31.12.2017 y determinar IDPC e IU (Gastos Rechazados)</t>
  </si>
  <si>
    <t>Confeccionar RAI, FUF, REX, SAC con sus imputaciones corresponientes</t>
  </si>
  <si>
    <t>Base Imponible</t>
  </si>
  <si>
    <t>B) Registros RAI; DDAN; REX; SAC</t>
  </si>
  <si>
    <t>RAI</t>
  </si>
  <si>
    <t>SAC 01.01.2017</t>
  </si>
  <si>
    <t>Con restitución</t>
  </si>
  <si>
    <t>Sin Devolución</t>
  </si>
  <si>
    <t>Distribuciones Octubre 2017</t>
  </si>
  <si>
    <t>Distribuciones del Ejercicio</t>
  </si>
  <si>
    <t>Distribuciones imputados</t>
  </si>
  <si>
    <t>Distribuciones Provisorios</t>
  </si>
  <si>
    <t>Crédito IDPC Según RLI (681.000 x 25,5%)</t>
  </si>
  <si>
    <t>Crédito IDPC dividendos percibidos (2.000.000 x 0,342281)</t>
  </si>
  <si>
    <t>Rentas Afectas del Ejercicio</t>
  </si>
  <si>
    <t>DDAN al 31.12.2017</t>
  </si>
  <si>
    <t>10/2017 - Distribuciones Accionista 1 (Actualizado a Diciembre 2017)</t>
  </si>
  <si>
    <t>Distribuciones no Imputados</t>
  </si>
  <si>
    <t>10/2017 - Distribuciones Accionista 2 (Actualizado a Diciembre 2017)</t>
  </si>
  <si>
    <t>Remanente ejercicio siguiente</t>
  </si>
  <si>
    <t>C) Tributación de los Accionistas</t>
  </si>
  <si>
    <t>Accionistas n°1</t>
  </si>
  <si>
    <t>Accionistas n°2</t>
  </si>
  <si>
    <t>Distribuciones Imputados a RAI</t>
  </si>
  <si>
    <t>Distribuciones Imputados a DDAN</t>
  </si>
  <si>
    <t>Distribuciones Imputados a Utilidades Financieras</t>
  </si>
  <si>
    <t>Base sujeto a IGC</t>
  </si>
  <si>
    <t>Distribuciones</t>
  </si>
  <si>
    <t>Distribuciones actualizadas</t>
  </si>
  <si>
    <t>Accionista n°1</t>
  </si>
  <si>
    <t>Accionista n°2</t>
  </si>
  <si>
    <t>Detreminación RAI</t>
  </si>
  <si>
    <t>Monto</t>
  </si>
  <si>
    <r>
      <t xml:space="preserve">CPT al término del ejercicio </t>
    </r>
    <r>
      <rPr>
        <b/>
        <sz val="10"/>
        <rFont val="Arial"/>
        <family val="2"/>
      </rPr>
      <t>(*)</t>
    </r>
  </si>
  <si>
    <t>+</t>
  </si>
  <si>
    <t>Capital Inicial Aportado</t>
  </si>
  <si>
    <t>Retiros, Remesas, o distribuciones no imputadas a los registros RAI, DDAN, REX del ejercicio anterior (Provisorios)</t>
  </si>
  <si>
    <t>Dividendos percibidos en el ejercicio</t>
  </si>
  <si>
    <t>Distribuciones del ejercicio</t>
  </si>
  <si>
    <t>Base Imponible (RLI / PT)</t>
  </si>
  <si>
    <t>Saldo Positivo del REX anterior</t>
  </si>
  <si>
    <t>(-)</t>
  </si>
  <si>
    <t>C.M. Patrimonio Tributario</t>
  </si>
  <si>
    <t>Capital aportado más aumento y disminuaciones reajustado</t>
  </si>
  <si>
    <t>Multas</t>
  </si>
  <si>
    <t>(*)</t>
  </si>
  <si>
    <t>CPT al Término del Ejercicio</t>
  </si>
  <si>
    <t>RAI (Sólo positivo)</t>
  </si>
  <si>
    <t>(=)</t>
  </si>
  <si>
    <t>+R[-1]C*R[-17]C[-4]</t>
  </si>
  <si>
    <t>B: Registros RAI; DDAN; REX; SAC</t>
  </si>
  <si>
    <t>SAC al 01.01.2017</t>
  </si>
  <si>
    <t>Créditos Generados hasta el 31.12.2016</t>
  </si>
  <si>
    <t>Con Devolucion</t>
  </si>
  <si>
    <t>Sin Devolucion</t>
  </si>
  <si>
    <t>Remanente Ejercicio anterior (Descuadratura $0 + FUT (Bruto) $10.000.000)</t>
  </si>
  <si>
    <t>Reajuste Octubre 2017</t>
  </si>
  <si>
    <t>Remanente Reajustado</t>
  </si>
  <si>
    <t>Distribuciones Julio 2017</t>
  </si>
  <si>
    <t>Distribuciones no imputadas / Actualizado a Diciembre</t>
  </si>
  <si>
    <t>Participación</t>
  </si>
  <si>
    <t>Distribuciones Imputados a RAI (Antes 31.12.2017)</t>
  </si>
  <si>
    <t>Distribuciones Imputados a RAI (Despúes 31.12.2017)</t>
  </si>
  <si>
    <t>Imputados</t>
  </si>
  <si>
    <t>Por imputar</t>
  </si>
  <si>
    <t>Dividendos Julio 2017</t>
  </si>
  <si>
    <t>Dividendos Octubre 2017</t>
  </si>
  <si>
    <t>RAI (positivo)</t>
  </si>
  <si>
    <r>
      <t xml:space="preserve">La Sociedad de Responsabilidad Limitada "Triple AAA", fue constituida en </t>
    </r>
    <r>
      <rPr>
        <b/>
        <u/>
        <sz val="10"/>
        <rFont val="Arial"/>
        <family val="2"/>
      </rPr>
      <t>"Enero del 2016"</t>
    </r>
    <r>
      <rPr>
        <sz val="10"/>
        <rFont val="Arial"/>
        <family val="2"/>
      </rPr>
      <t xml:space="preserve"> y se acogió al Régimen de "Renta Atribuida 14 A de la LIRen Diciembre de 2017". Formada por dos socios personas naturales siendo su giro comercial  el de comercialización de productos médicos. Según lo antes descrito, la sociedad registra los siguientes antecedentes:</t>
    </r>
  </si>
  <si>
    <t>Los socios de "Triple AAA Ltda." deciden efectuar retiro de utilidades por $5.000.000 durante el año, según se detalla:</t>
  </si>
  <si>
    <t>Crédito castigado en 35% proveniente de E. 14 B (65%)</t>
  </si>
  <si>
    <t>Liquidación de Impuestos</t>
  </si>
  <si>
    <r>
      <t xml:space="preserve">La Sociedad Anónima "Triple ZZZ", fue constituida en </t>
    </r>
    <r>
      <rPr>
        <b/>
        <u/>
        <sz val="10"/>
        <rFont val="Arial"/>
        <family val="2"/>
      </rPr>
      <t>"Enero del 2016"</t>
    </r>
    <r>
      <rPr>
        <sz val="10"/>
        <rFont val="Arial"/>
        <family val="2"/>
      </rPr>
      <t xml:space="preserve"> y se acogió al Régimen de Renta Parcialmente Integrada del Art. "14 B de la  LIR". Formada por dos accionistas, uno persona natural y otro persona jurídica. El giro comercial de la sociedad es la comercialización de productos médicos. Según lo antes descrito, la sociedad registra los siguientes antecedentes:</t>
    </r>
  </si>
  <si>
    <t>Los accionistas suscribieron un Capital Inicial de $ 50.000.000 con una participación del 30% (Accionista n°1) y 70% (Accionista n°2). De lo anterior quedó por enterar $10.000.000 correspondiente al 30% y 70% respectivamente (dentro de los 3 proximos años).</t>
  </si>
  <si>
    <r>
      <t xml:space="preserve">Los accionistas de "Triple ZZZ S.A." deciden efectuar </t>
    </r>
    <r>
      <rPr>
        <b/>
        <sz val="10"/>
        <rFont val="Arial"/>
        <family val="2"/>
      </rPr>
      <t>"dos"</t>
    </r>
    <r>
      <rPr>
        <sz val="10"/>
        <rFont val="Arial"/>
        <family val="2"/>
      </rPr>
      <t xml:space="preserve"> distribuciones de dividendos durante el año, según se detalla:</t>
    </r>
  </si>
  <si>
    <t>Total a pagar</t>
  </si>
  <si>
    <t>Dividendos Julio 2017 $2.400.000</t>
  </si>
  <si>
    <t>Dividendos Octubre 2017 $5.600.000</t>
  </si>
  <si>
    <t>Dividendos Provisorios</t>
  </si>
  <si>
    <t>Capital aportado más aumento y disminuciones reajustado</t>
  </si>
  <si>
    <t>Capital propio tributario al 01.01.2018(*)</t>
  </si>
  <si>
    <t>Incremento Patrimoniales Ejercicio Anterior</t>
  </si>
  <si>
    <t>TEF (Ejercicio Siguiente)</t>
  </si>
  <si>
    <t>Reajuste Julio 2017</t>
  </si>
  <si>
    <t>IDPC AT 2017 actualizado de abr- jul ($2.400.000 x 1%)</t>
  </si>
  <si>
    <t>Remanente Actualizado a Julio 2017</t>
  </si>
  <si>
    <t>Remanente Actualizado a Octubre 2017</t>
  </si>
  <si>
    <t>Remanente a Octubre 2017</t>
  </si>
  <si>
    <t>Reajuste Diciembre 2017</t>
  </si>
  <si>
    <t>Remanente a Diciembre 2017</t>
  </si>
  <si>
    <t>Remanente Actualizado a Diciembre 2017</t>
  </si>
  <si>
    <t>Total Dividendos</t>
  </si>
  <si>
    <t>Crédito IDPC Según RLI (695.400 x 25,5%)</t>
  </si>
  <si>
    <t>Ejercicio N° 3: Sociedad acogido al 14 B</t>
  </si>
  <si>
    <t>Ejercicio N° 2: Sociedad acogido al 14 A (FUT de Arrastre)</t>
  </si>
  <si>
    <t>Ejercicio N° 4: Sociedad acogido al 14 B (FUT de Arrastre)</t>
  </si>
  <si>
    <t>Desarrollo Ejercicio Ejercicio N° 4: Sociedad acogido al 14 B (FUT de Arrastre)</t>
  </si>
  <si>
    <r>
      <t>Agregados a la RLI</t>
    </r>
    <r>
      <rPr>
        <b/>
        <sz val="11"/>
        <rFont val="Calibri"/>
        <family val="2"/>
        <scheme val="minor"/>
      </rPr>
      <t>:</t>
    </r>
  </si>
  <si>
    <r>
      <t>Deducción o Desagregados a la RLI</t>
    </r>
    <r>
      <rPr>
        <b/>
        <sz val="11"/>
        <rFont val="Calibri"/>
        <family val="2"/>
        <scheme val="minor"/>
      </rPr>
      <t>:</t>
    </r>
  </si>
  <si>
    <t>BEST BUSINESS SOLUTIONS CONSULTING SPA</t>
  </si>
  <si>
    <t xml:space="preserve"> </t>
  </si>
  <si>
    <t>Profesora Claudia Valdés Muñoz cvaldes@bbsc.cl www.bbsc.cl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</si>
</sst>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_-* #,##0_-;\-* #,##0_-;_-* &quot;-&quot;??_-;_-@_-"/>
    <numFmt numFmtId="166" formatCode="#,##0.00;[Red]\(#,##0\)"/>
    <numFmt numFmtId="167" formatCode="#,##0.000000"/>
    <numFmt numFmtId="168" formatCode="&quot;$&quot;\ #,##0"/>
    <numFmt numFmtId="169" formatCode="#,##0;[Red]\(#,##0\)"/>
    <numFmt numFmtId="170" formatCode="0.0%"/>
    <numFmt numFmtId="171" formatCode="_-* #,##0.00000_-;\-* #,##0.00000_-;_-* &quot;-&quot;??_-;_-@_-"/>
    <numFmt numFmtId="172" formatCode="#,##0;\(#,##0\)"/>
    <numFmt numFmtId="173" formatCode="#,##0;\(#,##0\9"/>
    <numFmt numFmtId="174" formatCode="#,##0.000000;[Red]\(#,##0.0000\)"/>
    <numFmt numFmtId="175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i/>
      <u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19">
    <xf numFmtId="0" fontId="0" fillId="0" borderId="0" xfId="0"/>
    <xf numFmtId="0" fontId="3" fillId="0" borderId="0" xfId="3"/>
    <xf numFmtId="0" fontId="3" fillId="0" borderId="0" xfId="3" applyAlignment="1">
      <alignment horizontal="right"/>
    </xf>
    <xf numFmtId="0" fontId="3" fillId="0" borderId="0" xfId="3" applyAlignment="1">
      <alignment horizontal="center"/>
    </xf>
    <xf numFmtId="0" fontId="3" fillId="0" borderId="1" xfId="3" applyBorder="1"/>
    <xf numFmtId="0" fontId="4" fillId="0" borderId="2" xfId="3" applyFont="1" applyBorder="1"/>
    <xf numFmtId="0" fontId="3" fillId="0" borderId="2" xfId="3" applyBorder="1"/>
    <xf numFmtId="0" fontId="3" fillId="0" borderId="2" xfId="3" applyBorder="1" applyAlignment="1">
      <alignment horizontal="center"/>
    </xf>
    <xf numFmtId="0" fontId="3" fillId="0" borderId="3" xfId="3" applyBorder="1" applyAlignment="1">
      <alignment horizontal="center"/>
    </xf>
    <xf numFmtId="0" fontId="3" fillId="0" borderId="4" xfId="3" applyBorder="1"/>
    <xf numFmtId="0" fontId="3" fillId="0" borderId="0" xfId="3" applyBorder="1"/>
    <xf numFmtId="0" fontId="3" fillId="0" borderId="0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0" xfId="3" applyBorder="1" applyAlignment="1">
      <alignment horizontal="right"/>
    </xf>
    <xf numFmtId="0" fontId="3" fillId="0" borderId="0" xfId="3" applyFont="1" applyBorder="1" applyAlignment="1">
      <alignment horizontal="justify" vertical="justify"/>
    </xf>
    <xf numFmtId="0" fontId="3" fillId="0" borderId="0" xfId="3" applyFont="1" applyBorder="1" applyAlignment="1">
      <alignment horizontal="justify" vertical="top" wrapText="1"/>
    </xf>
    <xf numFmtId="9" fontId="3" fillId="0" borderId="0" xfId="3" applyNumberFormat="1"/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165" fontId="3" fillId="0" borderId="0" xfId="3" applyNumberFormat="1"/>
    <xf numFmtId="0" fontId="4" fillId="0" borderId="0" xfId="3" applyFont="1" applyBorder="1"/>
    <xf numFmtId="0" fontId="6" fillId="0" borderId="0" xfId="3" applyFont="1" applyBorder="1"/>
    <xf numFmtId="0" fontId="4" fillId="0" borderId="0" xfId="3" applyFont="1" applyBorder="1" applyAlignment="1">
      <alignment horizontal="center"/>
    </xf>
    <xf numFmtId="3" fontId="3" fillId="0" borderId="0" xfId="3" applyNumberFormat="1" applyBorder="1"/>
    <xf numFmtId="0" fontId="3" fillId="0" borderId="0" xfId="3" applyFont="1" applyBorder="1"/>
    <xf numFmtId="0" fontId="4" fillId="0" borderId="0" xfId="3" applyFont="1" applyBorder="1" applyAlignment="1">
      <alignment horizontal="left"/>
    </xf>
    <xf numFmtId="0" fontId="3" fillId="0" borderId="0" xfId="3" applyBorder="1" applyAlignment="1">
      <alignment horizontal="justify" vertical="justify" wrapText="1"/>
    </xf>
    <xf numFmtId="0" fontId="3" fillId="0" borderId="0" xfId="3" applyBorder="1" applyAlignment="1">
      <alignment horizontal="center" vertical="justify" wrapText="1"/>
    </xf>
    <xf numFmtId="0" fontId="3" fillId="0" borderId="5" xfId="3" applyBorder="1" applyAlignment="1">
      <alignment horizontal="center" vertical="justify" wrapText="1"/>
    </xf>
    <xf numFmtId="0" fontId="3" fillId="0" borderId="0" xfId="3" applyBorder="1" applyAlignment="1">
      <alignment horizontal="left"/>
    </xf>
    <xf numFmtId="166" fontId="3" fillId="0" borderId="0" xfId="3" applyNumberFormat="1" applyBorder="1"/>
    <xf numFmtId="0" fontId="3" fillId="0" borderId="0" xfId="3" applyFont="1" applyBorder="1" applyAlignment="1">
      <alignment horizontal="left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horizontal="center"/>
    </xf>
    <xf numFmtId="0" fontId="7" fillId="0" borderId="0" xfId="3" applyFont="1" applyBorder="1"/>
    <xf numFmtId="3" fontId="4" fillId="0" borderId="0" xfId="3" applyNumberFormat="1" applyFont="1" applyBorder="1"/>
    <xf numFmtId="0" fontId="7" fillId="0" borderId="0" xfId="3" applyFont="1" applyBorder="1" applyAlignment="1">
      <alignment horizontal="right"/>
    </xf>
    <xf numFmtId="0" fontId="8" fillId="0" borderId="0" xfId="3" applyFont="1" applyBorder="1" applyAlignment="1">
      <alignment horizontal="right"/>
    </xf>
    <xf numFmtId="0" fontId="3" fillId="0" borderId="6" xfId="3" applyBorder="1"/>
    <xf numFmtId="0" fontId="3" fillId="0" borderId="7" xfId="3" applyBorder="1" applyAlignment="1">
      <alignment horizontal="right"/>
    </xf>
    <xf numFmtId="0" fontId="4" fillId="0" borderId="7" xfId="3" applyFont="1" applyBorder="1" applyAlignment="1">
      <alignment horizontal="center"/>
    </xf>
    <xf numFmtId="3" fontId="3" fillId="0" borderId="7" xfId="3" applyNumberFormat="1" applyBorder="1"/>
    <xf numFmtId="0" fontId="3" fillId="0" borderId="7" xfId="3" applyBorder="1"/>
    <xf numFmtId="0" fontId="3" fillId="0" borderId="7" xfId="3" applyBorder="1" applyAlignment="1">
      <alignment horizontal="center"/>
    </xf>
    <xf numFmtId="0" fontId="3" fillId="0" borderId="8" xfId="3" applyBorder="1" applyAlignment="1">
      <alignment horizontal="center"/>
    </xf>
    <xf numFmtId="0" fontId="3" fillId="0" borderId="0" xfId="3" applyFont="1" applyAlignment="1">
      <alignment horizontal="left" vertical="top" wrapText="1"/>
    </xf>
    <xf numFmtId="167" fontId="3" fillId="0" borderId="0" xfId="3" applyNumberFormat="1"/>
    <xf numFmtId="0" fontId="9" fillId="0" borderId="0" xfId="0" applyFont="1"/>
    <xf numFmtId="3" fontId="3" fillId="0" borderId="0" xfId="3" applyNumberFormat="1" applyAlignment="1">
      <alignment horizontal="center"/>
    </xf>
    <xf numFmtId="0" fontId="3" fillId="0" borderId="0" xfId="3" applyAlignment="1">
      <alignment horizontal="left"/>
    </xf>
    <xf numFmtId="3" fontId="3" fillId="0" borderId="0" xfId="3" applyNumberFormat="1"/>
    <xf numFmtId="0" fontId="3" fillId="0" borderId="0" xfId="3" applyAlignment="1">
      <alignment horizontal="justify" vertical="top" wrapText="1"/>
    </xf>
    <xf numFmtId="168" fontId="3" fillId="0" borderId="0" xfId="3" applyNumberFormat="1"/>
    <xf numFmtId="0" fontId="4" fillId="0" borderId="0" xfId="3" applyFont="1" applyAlignment="1">
      <alignment horizontal="justify" vertical="top" wrapText="1"/>
    </xf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Border="1"/>
    <xf numFmtId="0" fontId="4" fillId="0" borderId="4" xfId="3" applyFont="1" applyBorder="1" applyAlignment="1">
      <alignment horizontal="center"/>
    </xf>
    <xf numFmtId="3" fontId="3" fillId="0" borderId="0" xfId="3" applyNumberFormat="1" applyFont="1" applyBorder="1"/>
    <xf numFmtId="0" fontId="3" fillId="0" borderId="5" xfId="3" applyFont="1" applyBorder="1"/>
    <xf numFmtId="0" fontId="3" fillId="0" borderId="5" xfId="3" applyFont="1" applyBorder="1" applyAlignment="1">
      <alignment horizontal="justify" vertical="justify" wrapText="1"/>
    </xf>
    <xf numFmtId="166" fontId="3" fillId="0" borderId="0" xfId="3" applyNumberFormat="1" applyFont="1" applyBorder="1"/>
    <xf numFmtId="0" fontId="4" fillId="0" borderId="9" xfId="3" applyFont="1" applyBorder="1" applyAlignment="1">
      <alignment horizontal="left"/>
    </xf>
    <xf numFmtId="0" fontId="4" fillId="0" borderId="9" xfId="3" applyFont="1" applyBorder="1"/>
    <xf numFmtId="3" fontId="4" fillId="0" borderId="9" xfId="3" applyNumberFormat="1" applyFont="1" applyBorder="1"/>
    <xf numFmtId="10" fontId="4" fillId="0" borderId="0" xfId="3" applyNumberFormat="1" applyFont="1" applyBorder="1"/>
    <xf numFmtId="9" fontId="4" fillId="0" borderId="0" xfId="3" applyNumberFormat="1" applyFont="1" applyBorder="1"/>
    <xf numFmtId="0" fontId="4" fillId="0" borderId="6" xfId="3" applyFont="1" applyBorder="1" applyAlignment="1">
      <alignment horizontal="center"/>
    </xf>
    <xf numFmtId="0" fontId="4" fillId="0" borderId="10" xfId="3" applyFont="1" applyBorder="1" applyAlignment="1">
      <alignment horizontal="left"/>
    </xf>
    <xf numFmtId="0" fontId="4" fillId="0" borderId="10" xfId="3" applyFont="1" applyBorder="1"/>
    <xf numFmtId="3" fontId="4" fillId="0" borderId="10" xfId="3" applyNumberFormat="1" applyFont="1" applyBorder="1"/>
    <xf numFmtId="0" fontId="3" fillId="0" borderId="8" xfId="3" applyFont="1" applyBorder="1"/>
    <xf numFmtId="0" fontId="3" fillId="0" borderId="0" xfId="3" applyFont="1" applyBorder="1" applyAlignment="1">
      <alignment horizontal="justify" vertical="justify" wrapText="1"/>
    </xf>
    <xf numFmtId="0" fontId="4" fillId="0" borderId="0" xfId="3" applyFont="1" applyAlignment="1">
      <alignment horizontal="center"/>
    </xf>
    <xf numFmtId="0" fontId="3" fillId="0" borderId="0" xfId="3" applyFont="1"/>
    <xf numFmtId="0" fontId="4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4" fillId="0" borderId="16" xfId="3" applyFont="1" applyBorder="1" applyAlignment="1">
      <alignment horizontal="center"/>
    </xf>
    <xf numFmtId="0" fontId="4" fillId="0" borderId="14" xfId="3" applyFont="1" applyBorder="1" applyAlignment="1">
      <alignment horizontal="center" wrapText="1"/>
    </xf>
    <xf numFmtId="0" fontId="3" fillId="0" borderId="4" xfId="3" applyFont="1" applyBorder="1" applyAlignment="1">
      <alignment horizontal="center" vertical="justify" wrapText="1"/>
    </xf>
    <xf numFmtId="0" fontId="4" fillId="0" borderId="17" xfId="3" applyFont="1" applyBorder="1" applyAlignment="1">
      <alignment horizontal="left"/>
    </xf>
    <xf numFmtId="0" fontId="4" fillId="0" borderId="13" xfId="3" applyFont="1" applyBorder="1" applyAlignment="1">
      <alignment horizontal="left"/>
    </xf>
    <xf numFmtId="169" fontId="4" fillId="0" borderId="13" xfId="3" applyNumberFormat="1" applyFont="1" applyBorder="1"/>
    <xf numFmtId="169" fontId="4" fillId="0" borderId="9" xfId="3" applyNumberFormat="1" applyFont="1" applyBorder="1"/>
    <xf numFmtId="169" fontId="4" fillId="0" borderId="14" xfId="3" applyNumberFormat="1" applyFont="1" applyBorder="1"/>
    <xf numFmtId="0" fontId="4" fillId="0" borderId="15" xfId="3" applyFont="1" applyBorder="1" applyAlignment="1">
      <alignment horizontal="left"/>
    </xf>
    <xf numFmtId="0" fontId="4" fillId="0" borderId="16" xfId="3" applyFont="1" applyBorder="1" applyAlignment="1">
      <alignment horizontal="left"/>
    </xf>
    <xf numFmtId="169" fontId="3" fillId="0" borderId="16" xfId="3" applyNumberFormat="1" applyFont="1" applyBorder="1" applyAlignment="1">
      <alignment horizontal="center"/>
    </xf>
    <xf numFmtId="169" fontId="10" fillId="0" borderId="0" xfId="0" applyNumberFormat="1" applyFont="1" applyBorder="1"/>
    <xf numFmtId="169" fontId="10" fillId="0" borderId="18" xfId="0" applyNumberFormat="1" applyFont="1" applyBorder="1"/>
    <xf numFmtId="169" fontId="3" fillId="0" borderId="18" xfId="3" applyNumberFormat="1" applyFont="1" applyBorder="1" applyAlignment="1">
      <alignment horizontal="center"/>
    </xf>
    <xf numFmtId="169" fontId="3" fillId="0" borderId="18" xfId="3" applyNumberFormat="1" applyFont="1" applyBorder="1"/>
    <xf numFmtId="169" fontId="10" fillId="0" borderId="16" xfId="0" applyNumberFormat="1" applyFont="1" applyBorder="1"/>
    <xf numFmtId="169" fontId="3" fillId="0" borderId="5" xfId="3" applyNumberFormat="1" applyFont="1" applyBorder="1"/>
    <xf numFmtId="0" fontId="3" fillId="0" borderId="15" xfId="3" applyFont="1" applyBorder="1" applyAlignment="1">
      <alignment horizontal="left"/>
    </xf>
    <xf numFmtId="0" fontId="3" fillId="0" borderId="16" xfId="3" applyFont="1" applyBorder="1" applyAlignment="1">
      <alignment horizontal="left"/>
    </xf>
    <xf numFmtId="169" fontId="3" fillId="0" borderId="16" xfId="3" applyNumberFormat="1" applyFont="1" applyBorder="1"/>
    <xf numFmtId="169" fontId="3" fillId="0" borderId="0" xfId="3" applyNumberFormat="1" applyFont="1" applyBorder="1"/>
    <xf numFmtId="0" fontId="3" fillId="0" borderId="15" xfId="3" applyFont="1" applyBorder="1"/>
    <xf numFmtId="0" fontId="3" fillId="0" borderId="16" xfId="3" applyFont="1" applyBorder="1"/>
    <xf numFmtId="169" fontId="3" fillId="0" borderId="19" xfId="3" applyNumberFormat="1" applyFont="1" applyBorder="1"/>
    <xf numFmtId="169" fontId="3" fillId="0" borderId="20" xfId="3" applyNumberFormat="1" applyFont="1" applyBorder="1"/>
    <xf numFmtId="0" fontId="10" fillId="0" borderId="18" xfId="0" applyFont="1" applyBorder="1"/>
    <xf numFmtId="0" fontId="11" fillId="0" borderId="15" xfId="0" applyFont="1" applyBorder="1"/>
    <xf numFmtId="169" fontId="4" fillId="0" borderId="12" xfId="3" applyNumberFormat="1" applyFont="1" applyBorder="1"/>
    <xf numFmtId="0" fontId="10" fillId="0" borderId="15" xfId="0" applyFont="1" applyBorder="1"/>
    <xf numFmtId="0" fontId="10" fillId="0" borderId="16" xfId="0" applyFont="1" applyBorder="1"/>
    <xf numFmtId="0" fontId="3" fillId="0" borderId="0" xfId="3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17" xfId="0" applyFont="1" applyBorder="1"/>
    <xf numFmtId="3" fontId="4" fillId="0" borderId="9" xfId="3" applyNumberFormat="1" applyFont="1" applyBorder="1" applyAlignment="1">
      <alignment horizontal="center"/>
    </xf>
    <xf numFmtId="3" fontId="4" fillId="0" borderId="13" xfId="3" applyNumberFormat="1" applyFont="1" applyBorder="1" applyAlignment="1">
      <alignment horizontal="center"/>
    </xf>
    <xf numFmtId="0" fontId="12" fillId="0" borderId="0" xfId="0" applyFont="1" applyBorder="1"/>
    <xf numFmtId="0" fontId="4" fillId="0" borderId="17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9" fontId="3" fillId="0" borderId="21" xfId="3" applyNumberFormat="1" applyFont="1" applyBorder="1" applyAlignment="1">
      <alignment horizontal="center"/>
    </xf>
    <xf numFmtId="169" fontId="3" fillId="0" borderId="22" xfId="3" applyNumberFormat="1" applyFont="1" applyBorder="1" applyAlignment="1">
      <alignment horizontal="center"/>
    </xf>
    <xf numFmtId="169" fontId="3" fillId="0" borderId="19" xfId="3" applyNumberFormat="1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3" fontId="10" fillId="0" borderId="17" xfId="0" applyNumberFormat="1" applyFont="1" applyBorder="1"/>
    <xf numFmtId="0" fontId="3" fillId="0" borderId="9" xfId="3" applyFont="1" applyBorder="1" applyAlignment="1">
      <alignment horizontal="center"/>
    </xf>
    <xf numFmtId="3" fontId="10" fillId="0" borderId="13" xfId="0" applyNumberFormat="1" applyFont="1" applyBorder="1"/>
    <xf numFmtId="0" fontId="4" fillId="0" borderId="14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11" fillId="0" borderId="11" xfId="0" applyFont="1" applyBorder="1"/>
    <xf numFmtId="10" fontId="3" fillId="0" borderId="20" xfId="3" applyNumberFormat="1" applyFont="1" applyBorder="1" applyAlignment="1">
      <alignment horizontal="center"/>
    </xf>
    <xf numFmtId="169" fontId="3" fillId="0" borderId="12" xfId="3" applyNumberFormat="1" applyFont="1" applyBorder="1" applyAlignment="1">
      <alignment horizontal="center"/>
    </xf>
    <xf numFmtId="10" fontId="3" fillId="0" borderId="18" xfId="2" applyNumberFormat="1" applyFont="1" applyBorder="1" applyAlignment="1">
      <alignment horizontal="center"/>
    </xf>
    <xf numFmtId="0" fontId="11" fillId="0" borderId="21" xfId="0" applyFont="1" applyBorder="1"/>
    <xf numFmtId="169" fontId="3" fillId="0" borderId="23" xfId="3" applyNumberFormat="1" applyFont="1" applyBorder="1"/>
    <xf numFmtId="10" fontId="3" fillId="0" borderId="23" xfId="3" applyNumberFormat="1" applyFont="1" applyBorder="1" applyAlignment="1">
      <alignment horizontal="center"/>
    </xf>
    <xf numFmtId="10" fontId="3" fillId="0" borderId="23" xfId="2" applyNumberFormat="1" applyFont="1" applyBorder="1" applyAlignment="1">
      <alignment horizontal="center"/>
    </xf>
    <xf numFmtId="169" fontId="4" fillId="0" borderId="17" xfId="3" applyNumberFormat="1" applyFont="1" applyBorder="1" applyAlignment="1">
      <alignment horizontal="center"/>
    </xf>
    <xf numFmtId="9" fontId="4" fillId="0" borderId="14" xfId="3" applyNumberFormat="1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3" fillId="0" borderId="0" xfId="3" applyBorder="1" applyAlignment="1">
      <alignment horizontal="justify" vertical="top" wrapText="1"/>
    </xf>
    <xf numFmtId="0" fontId="3" fillId="0" borderId="0" xfId="3" applyAlignment="1">
      <alignment horizontal="center" vertical="justify" wrapText="1"/>
    </xf>
    <xf numFmtId="0" fontId="3" fillId="0" borderId="4" xfId="3" applyBorder="1" applyAlignment="1">
      <alignment horizontal="center"/>
    </xf>
    <xf numFmtId="0" fontId="3" fillId="0" borderId="6" xfId="3" applyBorder="1" applyAlignment="1">
      <alignment horizontal="center"/>
    </xf>
    <xf numFmtId="169" fontId="3" fillId="0" borderId="13" xfId="3" applyNumberFormat="1" applyFont="1" applyBorder="1"/>
    <xf numFmtId="0" fontId="4" fillId="0" borderId="12" xfId="3" applyFont="1" applyBorder="1" applyAlignment="1">
      <alignment horizontal="left"/>
    </xf>
    <xf numFmtId="0" fontId="4" fillId="0" borderId="19" xfId="3" applyFont="1" applyBorder="1" applyAlignment="1">
      <alignment horizontal="left"/>
    </xf>
    <xf numFmtId="169" fontId="4" fillId="0" borderId="16" xfId="3" applyNumberFormat="1" applyFont="1" applyBorder="1"/>
    <xf numFmtId="0" fontId="10" fillId="0" borderId="23" xfId="0" applyFont="1" applyBorder="1"/>
    <xf numFmtId="0" fontId="3" fillId="0" borderId="0" xfId="3" applyFont="1" applyBorder="1" applyAlignment="1">
      <alignment horizontal="justify" vertical="justify"/>
    </xf>
    <xf numFmtId="0" fontId="3" fillId="0" borderId="0" xfId="3" applyBorder="1" applyAlignment="1">
      <alignment horizontal="justify" vertical="top" wrapText="1"/>
    </xf>
    <xf numFmtId="0" fontId="11" fillId="0" borderId="13" xfId="0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3" applyNumberFormat="1" applyFont="1" applyBorder="1"/>
    <xf numFmtId="10" fontId="13" fillId="0" borderId="0" xfId="0" applyNumberFormat="1" applyFont="1"/>
    <xf numFmtId="3" fontId="14" fillId="0" borderId="0" xfId="3" applyNumberFormat="1" applyFont="1" applyBorder="1"/>
    <xf numFmtId="0" fontId="3" fillId="0" borderId="0" xfId="3" applyBorder="1" applyAlignment="1">
      <alignment vertical="top"/>
    </xf>
    <xf numFmtId="0" fontId="3" fillId="0" borderId="0" xfId="3" applyBorder="1" applyAlignment="1">
      <alignment vertical="top" wrapText="1"/>
    </xf>
    <xf numFmtId="169" fontId="10" fillId="0" borderId="22" xfId="0" applyNumberFormat="1" applyFont="1" applyBorder="1"/>
    <xf numFmtId="0" fontId="11" fillId="0" borderId="13" xfId="0" applyFont="1" applyBorder="1"/>
    <xf numFmtId="167" fontId="3" fillId="0" borderId="0" xfId="3" applyNumberForma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3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0" xfId="0" applyFont="1" applyBorder="1"/>
    <xf numFmtId="169" fontId="3" fillId="0" borderId="0" xfId="0" applyNumberFormat="1" applyFont="1"/>
    <xf numFmtId="0" fontId="6" fillId="0" borderId="0" xfId="3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0" xfId="3" applyFont="1" applyAlignment="1">
      <alignment horizontal="center"/>
    </xf>
    <xf numFmtId="170" fontId="4" fillId="0" borderId="16" xfId="3" applyNumberFormat="1" applyFont="1" applyBorder="1" applyAlignment="1">
      <alignment horizontal="center"/>
    </xf>
    <xf numFmtId="0" fontId="4" fillId="0" borderId="11" xfId="3" applyFont="1" applyBorder="1" applyAlignment="1">
      <alignment horizontal="left"/>
    </xf>
    <xf numFmtId="0" fontId="3" fillId="0" borderId="12" xfId="3" applyFont="1" applyBorder="1" applyAlignment="1">
      <alignment horizontal="left"/>
    </xf>
    <xf numFmtId="0" fontId="3" fillId="0" borderId="21" xfId="3" applyFont="1" applyBorder="1" applyAlignment="1">
      <alignment horizontal="left"/>
    </xf>
    <xf numFmtId="169" fontId="3" fillId="0" borderId="9" xfId="3" applyNumberFormat="1" applyFont="1" applyBorder="1" applyAlignment="1">
      <alignment horizontal="center"/>
    </xf>
    <xf numFmtId="169" fontId="3" fillId="0" borderId="13" xfId="3" applyNumberFormat="1" applyFont="1" applyBorder="1" applyAlignment="1">
      <alignment horizontal="center"/>
    </xf>
    <xf numFmtId="0" fontId="3" fillId="0" borderId="0" xfId="3" applyBorder="1" applyAlignment="1">
      <alignment horizontal="left" vertical="top"/>
    </xf>
    <xf numFmtId="0" fontId="3" fillId="0" borderId="0" xfId="3" applyFont="1" applyBorder="1" applyAlignment="1">
      <alignment horizontal="left" vertical="top"/>
    </xf>
    <xf numFmtId="0" fontId="13" fillId="0" borderId="0" xfId="3" applyFont="1" applyAlignment="1">
      <alignment horizontal="center"/>
    </xf>
    <xf numFmtId="0" fontId="13" fillId="0" borderId="0" xfId="3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/>
    <xf numFmtId="0" fontId="3" fillId="0" borderId="5" xfId="3" applyBorder="1"/>
    <xf numFmtId="0" fontId="3" fillId="0" borderId="5" xfId="3" applyBorder="1" applyAlignment="1">
      <alignment horizontal="justify" vertical="justify" wrapText="1"/>
    </xf>
    <xf numFmtId="0" fontId="0" fillId="0" borderId="6" xfId="0" applyBorder="1"/>
    <xf numFmtId="0" fontId="0" fillId="0" borderId="7" xfId="0" applyBorder="1"/>
    <xf numFmtId="0" fontId="3" fillId="0" borderId="8" xfId="3" applyBorder="1"/>
    <xf numFmtId="0" fontId="3" fillId="0" borderId="0" xfId="3" applyFont="1" applyAlignment="1">
      <alignment horizontal="left"/>
    </xf>
    <xf numFmtId="10" fontId="4" fillId="0" borderId="14" xfId="3" applyNumberFormat="1" applyFont="1" applyBorder="1" applyAlignment="1">
      <alignment horizontal="center" wrapText="1"/>
    </xf>
    <xf numFmtId="169" fontId="3" fillId="0" borderId="12" xfId="3" applyNumberFormat="1" applyFont="1" applyBorder="1"/>
    <xf numFmtId="0" fontId="3" fillId="0" borderId="21" xfId="3" applyFont="1" applyBorder="1"/>
    <xf numFmtId="0" fontId="4" fillId="0" borderId="21" xfId="3" applyFont="1" applyBorder="1" applyAlignment="1">
      <alignment horizontal="left"/>
    </xf>
    <xf numFmtId="169" fontId="3" fillId="0" borderId="16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center"/>
    </xf>
    <xf numFmtId="169" fontId="3" fillId="0" borderId="0" xfId="3" applyNumberFormat="1" applyFont="1" applyBorder="1" applyAlignment="1">
      <alignment horizontal="center"/>
    </xf>
    <xf numFmtId="3" fontId="10" fillId="0" borderId="0" xfId="0" applyNumberFormat="1" applyFont="1" applyBorder="1"/>
    <xf numFmtId="0" fontId="10" fillId="0" borderId="20" xfId="0" applyFont="1" applyBorder="1"/>
    <xf numFmtId="169" fontId="3" fillId="0" borderId="20" xfId="3" applyNumberFormat="1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169" fontId="3" fillId="0" borderId="23" xfId="3" applyNumberFormat="1" applyFont="1" applyBorder="1" applyAlignment="1">
      <alignment horizontal="center"/>
    </xf>
    <xf numFmtId="169" fontId="4" fillId="0" borderId="14" xfId="3" applyNumberFormat="1" applyFont="1" applyBorder="1" applyAlignment="1">
      <alignment horizontal="center"/>
    </xf>
    <xf numFmtId="9" fontId="4" fillId="0" borderId="0" xfId="3" applyNumberFormat="1" applyFont="1" applyBorder="1" applyAlignment="1">
      <alignment horizontal="center"/>
    </xf>
    <xf numFmtId="169" fontId="4" fillId="0" borderId="0" xfId="3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72" fontId="13" fillId="0" borderId="0" xfId="3" applyNumberFormat="1" applyFont="1" applyBorder="1" applyAlignment="1">
      <alignment horizontal="center"/>
    </xf>
    <xf numFmtId="172" fontId="13" fillId="0" borderId="0" xfId="3" applyNumberFormat="1" applyFont="1" applyBorder="1"/>
    <xf numFmtId="0" fontId="3" fillId="0" borderId="11" xfId="3" applyFont="1" applyBorder="1" applyAlignment="1">
      <alignment horizontal="left"/>
    </xf>
    <xf numFmtId="3" fontId="4" fillId="0" borderId="20" xfId="3" applyNumberFormat="1" applyFont="1" applyBorder="1" applyAlignment="1">
      <alignment horizontal="center" vertical="center"/>
    </xf>
    <xf numFmtId="0" fontId="3" fillId="0" borderId="12" xfId="3" applyFont="1" applyBorder="1" applyAlignment="1">
      <alignment horizontal="center"/>
    </xf>
    <xf numFmtId="172" fontId="13" fillId="0" borderId="0" xfId="1" applyNumberFormat="1" applyFont="1" applyBorder="1" applyAlignment="1">
      <alignment horizontal="left"/>
    </xf>
    <xf numFmtId="172" fontId="13" fillId="0" borderId="0" xfId="0" applyNumberFormat="1" applyFont="1" applyBorder="1"/>
    <xf numFmtId="3" fontId="3" fillId="0" borderId="18" xfId="3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172" fontId="13" fillId="0" borderId="0" xfId="0" applyNumberFormat="1" applyFont="1"/>
    <xf numFmtId="172" fontId="13" fillId="0" borderId="0" xfId="0" applyNumberFormat="1" applyFont="1" applyBorder="1" applyAlignment="1">
      <alignment horizontal="right"/>
    </xf>
    <xf numFmtId="172" fontId="14" fillId="0" borderId="0" xfId="0" applyNumberFormat="1" applyFont="1" applyBorder="1"/>
    <xf numFmtId="172" fontId="14" fillId="0" borderId="0" xfId="3" applyNumberFormat="1" applyFont="1" applyBorder="1"/>
    <xf numFmtId="3" fontId="4" fillId="0" borderId="21" xfId="3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" fontId="3" fillId="0" borderId="0" xfId="0" applyNumberFormat="1" applyFont="1" applyBorder="1"/>
    <xf numFmtId="0" fontId="3" fillId="0" borderId="0" xfId="3" applyFont="1" applyBorder="1" applyAlignment="1">
      <alignment horizontal="justify" vertical="justify"/>
    </xf>
    <xf numFmtId="0" fontId="3" fillId="0" borderId="0" xfId="3" applyBorder="1" applyAlignment="1">
      <alignment horizontal="justify" vertical="top" wrapText="1"/>
    </xf>
    <xf numFmtId="0" fontId="4" fillId="0" borderId="0" xfId="3" applyFont="1" applyBorder="1" applyAlignment="1">
      <alignment horizontal="left" vertical="top" wrapText="1"/>
    </xf>
    <xf numFmtId="164" fontId="3" fillId="0" borderId="0" xfId="1" applyFont="1"/>
    <xf numFmtId="0" fontId="9" fillId="0" borderId="7" xfId="0" applyFont="1" applyBorder="1"/>
    <xf numFmtId="3" fontId="3" fillId="0" borderId="8" xfId="3" applyNumberFormat="1" applyBorder="1" applyAlignment="1">
      <alignment horizontal="center"/>
    </xf>
    <xf numFmtId="0" fontId="4" fillId="0" borderId="20" xfId="3" applyFont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  <xf numFmtId="0" fontId="4" fillId="0" borderId="24" xfId="3" applyFont="1" applyBorder="1" applyAlignment="1">
      <alignment horizontal="left"/>
    </xf>
    <xf numFmtId="169" fontId="3" fillId="0" borderId="24" xfId="3" applyNumberFormat="1" applyFont="1" applyBorder="1"/>
    <xf numFmtId="170" fontId="4" fillId="0" borderId="22" xfId="3" applyNumberFormat="1" applyFont="1" applyBorder="1" applyAlignment="1">
      <alignment horizontal="left"/>
    </xf>
    <xf numFmtId="169" fontId="3" fillId="0" borderId="22" xfId="3" applyNumberFormat="1" applyFont="1" applyBorder="1"/>
    <xf numFmtId="169" fontId="4" fillId="0" borderId="19" xfId="3" applyNumberFormat="1" applyFont="1" applyBorder="1"/>
    <xf numFmtId="169" fontId="4" fillId="0" borderId="20" xfId="3" applyNumberFormat="1" applyFont="1" applyBorder="1"/>
    <xf numFmtId="169" fontId="4" fillId="0" borderId="18" xfId="3" applyNumberFormat="1" applyFont="1" applyBorder="1"/>
    <xf numFmtId="169" fontId="4" fillId="0" borderId="0" xfId="3" applyNumberFormat="1" applyFont="1" applyBorder="1"/>
    <xf numFmtId="0" fontId="3" fillId="0" borderId="15" xfId="3" applyFont="1" applyFill="1" applyBorder="1" applyAlignment="1">
      <alignment horizontal="left"/>
    </xf>
    <xf numFmtId="169" fontId="3" fillId="0" borderId="16" xfId="3" applyNumberFormat="1" applyFont="1" applyFill="1" applyBorder="1"/>
    <xf numFmtId="169" fontId="3" fillId="0" borderId="16" xfId="3" applyNumberFormat="1" applyFont="1" applyFill="1" applyBorder="1" applyAlignment="1">
      <alignment horizontal="center"/>
    </xf>
    <xf numFmtId="169" fontId="3" fillId="0" borderId="18" xfId="3" applyNumberFormat="1" applyFont="1" applyFill="1" applyBorder="1" applyAlignment="1">
      <alignment horizontal="center"/>
    </xf>
    <xf numFmtId="169" fontId="3" fillId="0" borderId="18" xfId="3" applyNumberFormat="1" applyFont="1" applyFill="1" applyBorder="1"/>
    <xf numFmtId="169" fontId="3" fillId="0" borderId="12" xfId="3" applyNumberFormat="1" applyFont="1" applyFill="1" applyBorder="1"/>
    <xf numFmtId="0" fontId="4" fillId="0" borderId="15" xfId="3" applyFont="1" applyFill="1" applyBorder="1" applyAlignment="1">
      <alignment horizontal="left"/>
    </xf>
    <xf numFmtId="0" fontId="4" fillId="0" borderId="16" xfId="3" applyFont="1" applyFill="1" applyBorder="1" applyAlignment="1">
      <alignment horizontal="left"/>
    </xf>
    <xf numFmtId="0" fontId="3" fillId="0" borderId="16" xfId="3" applyFont="1" applyFill="1" applyBorder="1" applyAlignment="1">
      <alignment horizontal="left"/>
    </xf>
    <xf numFmtId="169" fontId="3" fillId="0" borderId="0" xfId="3" applyNumberFormat="1" applyFont="1" applyFill="1" applyBorder="1"/>
    <xf numFmtId="3" fontId="3" fillId="0" borderId="16" xfId="3" applyNumberFormat="1" applyFont="1" applyFill="1" applyBorder="1" applyAlignment="1">
      <alignment horizontal="left"/>
    </xf>
    <xf numFmtId="0" fontId="3" fillId="0" borderId="21" xfId="3" applyFont="1" applyFill="1" applyBorder="1"/>
    <xf numFmtId="169" fontId="3" fillId="0" borderId="19" xfId="3" applyNumberFormat="1" applyFont="1" applyFill="1" applyBorder="1"/>
    <xf numFmtId="0" fontId="4" fillId="0" borderId="17" xfId="3" applyFont="1" applyFill="1" applyBorder="1" applyAlignment="1">
      <alignment horizontal="left"/>
    </xf>
    <xf numFmtId="0" fontId="4" fillId="0" borderId="13" xfId="3" applyFont="1" applyFill="1" applyBorder="1" applyAlignment="1">
      <alignment horizontal="left"/>
    </xf>
    <xf numFmtId="169" fontId="4" fillId="0" borderId="14" xfId="3" applyNumberFormat="1" applyFont="1" applyFill="1" applyBorder="1"/>
    <xf numFmtId="169" fontId="3" fillId="0" borderId="20" xfId="3" applyNumberFormat="1" applyFont="1" applyFill="1" applyBorder="1"/>
    <xf numFmtId="0" fontId="4" fillId="0" borderId="20" xfId="3" applyFont="1" applyBorder="1" applyAlignment="1">
      <alignment horizontal="center"/>
    </xf>
    <xf numFmtId="10" fontId="3" fillId="0" borderId="12" xfId="3" applyNumberFormat="1" applyFont="1" applyBorder="1" applyAlignment="1">
      <alignment horizontal="center"/>
    </xf>
    <xf numFmtId="10" fontId="3" fillId="0" borderId="19" xfId="3" applyNumberFormat="1" applyFont="1" applyBorder="1" applyAlignment="1">
      <alignment horizontal="center"/>
    </xf>
    <xf numFmtId="173" fontId="13" fillId="0" borderId="0" xfId="0" applyNumberFormat="1" applyFont="1" applyBorder="1"/>
    <xf numFmtId="173" fontId="13" fillId="0" borderId="0" xfId="3" applyNumberFormat="1" applyFont="1" applyBorder="1" applyAlignment="1">
      <alignment horizontal="center"/>
    </xf>
    <xf numFmtId="173" fontId="13" fillId="0" borderId="0" xfId="3" applyNumberFormat="1" applyFont="1" applyBorder="1"/>
    <xf numFmtId="3" fontId="3" fillId="0" borderId="11" xfId="3" applyNumberFormat="1" applyFont="1" applyBorder="1" applyAlignment="1">
      <alignment horizontal="center" vertical="center"/>
    </xf>
    <xf numFmtId="0" fontId="3" fillId="0" borderId="20" xfId="3" applyFont="1" applyBorder="1" applyAlignment="1">
      <alignment horizontal="center"/>
    </xf>
    <xf numFmtId="173" fontId="13" fillId="0" borderId="0" xfId="1" applyNumberFormat="1" applyFont="1" applyBorder="1" applyAlignment="1">
      <alignment horizontal="left"/>
    </xf>
    <xf numFmtId="3" fontId="3" fillId="0" borderId="15" xfId="3" applyNumberFormat="1" applyFont="1" applyBorder="1" applyAlignment="1">
      <alignment horizontal="center" vertical="center"/>
    </xf>
    <xf numFmtId="173" fontId="13" fillId="0" borderId="0" xfId="0" applyNumberFormat="1" applyFont="1" applyBorder="1" applyAlignment="1">
      <alignment horizontal="right"/>
    </xf>
    <xf numFmtId="173" fontId="14" fillId="0" borderId="0" xfId="0" applyNumberFormat="1" applyFont="1" applyBorder="1"/>
    <xf numFmtId="173" fontId="14" fillId="0" borderId="0" xfId="3" applyNumberFormat="1" applyFont="1" applyBorder="1"/>
    <xf numFmtId="0" fontId="3" fillId="0" borderId="7" xfId="3" applyFont="1" applyBorder="1" applyAlignment="1">
      <alignment horizontal="center"/>
    </xf>
    <xf numFmtId="0" fontId="15" fillId="0" borderId="0" xfId="0" applyFont="1"/>
    <xf numFmtId="164" fontId="15" fillId="0" borderId="0" xfId="1" applyFont="1"/>
    <xf numFmtId="170" fontId="13" fillId="0" borderId="0" xfId="2" applyNumberFormat="1" applyFont="1" applyBorder="1"/>
    <xf numFmtId="174" fontId="3" fillId="0" borderId="0" xfId="3" applyNumberFormat="1" applyFont="1" applyBorder="1"/>
    <xf numFmtId="0" fontId="14" fillId="0" borderId="0" xfId="3" applyFont="1" applyBorder="1" applyAlignment="1">
      <alignment horizontal="left" vertical="top" wrapText="1"/>
    </xf>
    <xf numFmtId="175" fontId="11" fillId="0" borderId="13" xfId="0" applyNumberFormat="1" applyFont="1" applyBorder="1"/>
    <xf numFmtId="175" fontId="10" fillId="0" borderId="0" xfId="0" applyNumberFormat="1" applyFont="1" applyBorder="1"/>
    <xf numFmtId="173" fontId="13" fillId="0" borderId="0" xfId="3" applyNumberFormat="1" applyFont="1" applyBorder="1" applyAlignment="1">
      <alignment horizontal="left"/>
    </xf>
    <xf numFmtId="0" fontId="13" fillId="0" borderId="5" xfId="0" applyFont="1" applyBorder="1"/>
    <xf numFmtId="172" fontId="13" fillId="0" borderId="5" xfId="3" applyNumberFormat="1" applyFont="1" applyBorder="1"/>
    <xf numFmtId="0" fontId="13" fillId="0" borderId="0" xfId="0" applyFont="1" applyBorder="1"/>
    <xf numFmtId="3" fontId="13" fillId="0" borderId="0" xfId="0" applyNumberFormat="1" applyFont="1" applyBorder="1"/>
    <xf numFmtId="0" fontId="15" fillId="0" borderId="0" xfId="0" applyFont="1" applyFill="1"/>
    <xf numFmtId="0" fontId="13" fillId="0" borderId="0" xfId="3" applyFont="1" applyFill="1" applyAlignment="1">
      <alignment horizontal="center"/>
    </xf>
    <xf numFmtId="0" fontId="13" fillId="0" borderId="0" xfId="3" applyFont="1" applyFill="1"/>
    <xf numFmtId="0" fontId="13" fillId="0" borderId="0" xfId="0" applyFont="1" applyFill="1" applyAlignment="1">
      <alignment horizontal="center"/>
    </xf>
    <xf numFmtId="3" fontId="13" fillId="0" borderId="0" xfId="3" applyNumberFormat="1" applyFont="1" applyFill="1" applyBorder="1"/>
    <xf numFmtId="10" fontId="13" fillId="0" borderId="0" xfId="0" applyNumberFormat="1" applyFont="1" applyFill="1"/>
    <xf numFmtId="0" fontId="13" fillId="0" borderId="0" xfId="0" applyFont="1" applyFill="1"/>
    <xf numFmtId="3" fontId="14" fillId="0" borderId="0" xfId="3" applyNumberFormat="1" applyFont="1" applyFill="1" applyBorder="1"/>
    <xf numFmtId="10" fontId="3" fillId="0" borderId="0" xfId="0" applyNumberFormat="1" applyFont="1"/>
    <xf numFmtId="0" fontId="4" fillId="0" borderId="15" xfId="0" applyFont="1" applyBorder="1"/>
    <xf numFmtId="0" fontId="3" fillId="0" borderId="18" xfId="0" applyFont="1" applyBorder="1"/>
    <xf numFmtId="169" fontId="3" fillId="0" borderId="18" xfId="0" applyNumberFormat="1" applyFont="1" applyBorder="1"/>
    <xf numFmtId="0" fontId="3" fillId="0" borderId="23" xfId="0" applyFont="1" applyBorder="1"/>
    <xf numFmtId="169" fontId="3" fillId="0" borderId="5" xfId="0" applyNumberFormat="1" applyFont="1" applyBorder="1"/>
    <xf numFmtId="169" fontId="3" fillId="0" borderId="0" xfId="0" applyNumberFormat="1" applyFont="1" applyBorder="1"/>
    <xf numFmtId="169" fontId="3" fillId="0" borderId="20" xfId="0" applyNumberFormat="1" applyFont="1" applyBorder="1"/>
    <xf numFmtId="0" fontId="4" fillId="0" borderId="21" xfId="0" applyFont="1" applyBorder="1"/>
    <xf numFmtId="165" fontId="3" fillId="0" borderId="0" xfId="1" applyNumberFormat="1" applyFont="1" applyBorder="1"/>
    <xf numFmtId="0" fontId="4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3" fillId="0" borderId="0" xfId="0" applyNumberFormat="1" applyFont="1" applyBorder="1"/>
    <xf numFmtId="0" fontId="4" fillId="0" borderId="17" xfId="0" applyFont="1" applyBorder="1"/>
    <xf numFmtId="171" fontId="3" fillId="0" borderId="5" xfId="1" applyNumberFormat="1" applyFont="1" applyBorder="1"/>
    <xf numFmtId="0" fontId="16" fillId="0" borderId="0" xfId="0" applyFont="1" applyBorder="1"/>
    <xf numFmtId="0" fontId="4" fillId="0" borderId="13" xfId="0" applyFont="1" applyBorder="1" applyAlignment="1">
      <alignment horizontal="center"/>
    </xf>
    <xf numFmtId="3" fontId="3" fillId="0" borderId="17" xfId="0" applyNumberFormat="1" applyFont="1" applyBorder="1"/>
    <xf numFmtId="3" fontId="3" fillId="0" borderId="13" xfId="0" applyNumberFormat="1" applyFont="1" applyBorder="1"/>
    <xf numFmtId="0" fontId="4" fillId="0" borderId="11" xfId="0" applyFont="1" applyBorder="1"/>
    <xf numFmtId="0" fontId="3" fillId="0" borderId="8" xfId="0" applyFont="1" applyBorder="1"/>
    <xf numFmtId="10" fontId="4" fillId="0" borderId="16" xfId="3" applyNumberFormat="1" applyFont="1" applyFill="1" applyBorder="1" applyAlignment="1">
      <alignment horizontal="left"/>
    </xf>
    <xf numFmtId="169" fontId="3" fillId="0" borderId="14" xfId="3" applyNumberFormat="1" applyFont="1" applyBorder="1"/>
    <xf numFmtId="0" fontId="4" fillId="0" borderId="11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169" fontId="3" fillId="0" borderId="16" xfId="0" applyNumberFormat="1" applyFont="1" applyBorder="1"/>
    <xf numFmtId="169" fontId="3" fillId="0" borderId="0" xfId="0" applyNumberFormat="1" applyFont="1" applyFill="1" applyBorder="1"/>
    <xf numFmtId="169" fontId="3" fillId="0" borderId="18" xfId="0" applyNumberFormat="1" applyFont="1" applyFill="1" applyBorder="1"/>
    <xf numFmtId="169" fontId="3" fillId="0" borderId="16" xfId="0" applyNumberFormat="1" applyFont="1" applyFill="1" applyBorder="1"/>
    <xf numFmtId="0" fontId="3" fillId="0" borderId="0" xfId="0" applyFont="1" applyFill="1" applyBorder="1"/>
    <xf numFmtId="0" fontId="3" fillId="0" borderId="18" xfId="0" applyFont="1" applyFill="1" applyBorder="1"/>
    <xf numFmtId="0" fontId="3" fillId="0" borderId="15" xfId="0" applyFont="1" applyBorder="1"/>
    <xf numFmtId="0" fontId="3" fillId="0" borderId="16" xfId="0" applyFont="1" applyBorder="1"/>
    <xf numFmtId="9" fontId="16" fillId="0" borderId="0" xfId="0" applyNumberFormat="1" applyFont="1" applyBorder="1" applyAlignment="1">
      <alignment horizontal="right"/>
    </xf>
    <xf numFmtId="0" fontId="3" fillId="0" borderId="20" xfId="0" applyFont="1" applyBorder="1"/>
    <xf numFmtId="0" fontId="4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17" fillId="0" borderId="0" xfId="0" applyFont="1"/>
    <xf numFmtId="0" fontId="17" fillId="0" borderId="1" xfId="0" applyFont="1" applyBorder="1"/>
    <xf numFmtId="0" fontId="17" fillId="0" borderId="2" xfId="0" applyFont="1" applyBorder="1"/>
    <xf numFmtId="0" fontId="17" fillId="0" borderId="3" xfId="0" applyFont="1" applyBorder="1"/>
    <xf numFmtId="0" fontId="17" fillId="0" borderId="4" xfId="0" applyFont="1" applyBorder="1"/>
    <xf numFmtId="0" fontId="17" fillId="0" borderId="0" xfId="0" applyFont="1" applyBorder="1"/>
    <xf numFmtId="0" fontId="17" fillId="0" borderId="5" xfId="0" applyFont="1" applyBorder="1"/>
    <xf numFmtId="0" fontId="18" fillId="0" borderId="0" xfId="0" applyFont="1" applyBorder="1"/>
    <xf numFmtId="0" fontId="3" fillId="0" borderId="0" xfId="3" applyFont="1" applyAlignment="1">
      <alignment horizontal="center" vertical="justify" wrapText="1"/>
    </xf>
    <xf numFmtId="169" fontId="17" fillId="0" borderId="0" xfId="0" applyNumberFormat="1" applyFont="1"/>
    <xf numFmtId="0" fontId="17" fillId="0" borderId="6" xfId="0" applyFont="1" applyBorder="1"/>
    <xf numFmtId="0" fontId="17" fillId="0" borderId="7" xfId="0" applyFont="1" applyBorder="1"/>
    <xf numFmtId="3" fontId="3" fillId="0" borderId="0" xfId="3" applyNumberFormat="1" applyFont="1"/>
    <xf numFmtId="169" fontId="13" fillId="0" borderId="15" xfId="3" applyNumberFormat="1" applyFont="1" applyFill="1" applyBorder="1"/>
    <xf numFmtId="169" fontId="13" fillId="0" borderId="0" xfId="0" applyNumberFormat="1" applyFont="1"/>
    <xf numFmtId="3" fontId="13" fillId="0" borderId="7" xfId="0" applyNumberFormat="1" applyFont="1" applyBorder="1"/>
    <xf numFmtId="0" fontId="13" fillId="0" borderId="7" xfId="0" applyFont="1" applyBorder="1"/>
    <xf numFmtId="165" fontId="13" fillId="0" borderId="7" xfId="0" applyNumberFormat="1" applyFont="1" applyBorder="1"/>
    <xf numFmtId="0" fontId="13" fillId="0" borderId="8" xfId="0" applyFont="1" applyBorder="1"/>
    <xf numFmtId="9" fontId="13" fillId="0" borderId="0" xfId="0" applyNumberFormat="1" applyFont="1"/>
    <xf numFmtId="10" fontId="13" fillId="0" borderId="0" xfId="2" applyNumberFormat="1" applyFont="1"/>
    <xf numFmtId="0" fontId="4" fillId="0" borderId="11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4" fillId="0" borderId="23" xfId="3" applyFont="1" applyBorder="1" applyAlignment="1">
      <alignment horizontal="center" vertical="center"/>
    </xf>
    <xf numFmtId="0" fontId="3" fillId="0" borderId="0" xfId="3" applyFont="1" applyAlignment="1">
      <alignment horizontal="center" vertical="top" wrapText="1"/>
    </xf>
    <xf numFmtId="0" fontId="5" fillId="0" borderId="0" xfId="3" applyFont="1" applyBorder="1" applyAlignment="1">
      <alignment horizontal="center"/>
    </xf>
    <xf numFmtId="0" fontId="3" fillId="0" borderId="0" xfId="3" applyFont="1" applyBorder="1" applyAlignment="1">
      <alignment horizontal="justify" vertical="justify"/>
    </xf>
    <xf numFmtId="0" fontId="3" fillId="0" borderId="0" xfId="3" applyBorder="1" applyAlignment="1">
      <alignment horizontal="justify" vertical="top" wrapText="1"/>
    </xf>
    <xf numFmtId="0" fontId="3" fillId="0" borderId="0" xfId="3" applyBorder="1" applyAlignment="1">
      <alignment horizontal="justify" wrapText="1"/>
    </xf>
    <xf numFmtId="0" fontId="3" fillId="0" borderId="7" xfId="3" applyFont="1" applyBorder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4" fillId="0" borderId="0" xfId="3" applyFont="1" applyBorder="1" applyAlignment="1">
      <alignment horizontal="left" vertical="top" wrapText="1"/>
    </xf>
    <xf numFmtId="0" fontId="4" fillId="0" borderId="20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3" fillId="0" borderId="15" xfId="3" applyFont="1" applyFill="1" applyBorder="1" applyAlignment="1">
      <alignment horizontal="justify" wrapText="1"/>
    </xf>
    <xf numFmtId="0" fontId="3" fillId="0" borderId="21" xfId="3" applyFont="1" applyFill="1" applyBorder="1" applyAlignment="1">
      <alignment horizontal="justify" wrapText="1"/>
    </xf>
    <xf numFmtId="169" fontId="3" fillId="0" borderId="18" xfId="3" applyNumberFormat="1" applyFont="1" applyBorder="1" applyAlignment="1">
      <alignment horizontal="center" vertical="center"/>
    </xf>
    <xf numFmtId="169" fontId="3" fillId="0" borderId="23" xfId="3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4" fillId="0" borderId="17" xfId="3" applyFont="1" applyBorder="1" applyAlignment="1">
      <alignment horizontal="center" wrapText="1"/>
    </xf>
    <xf numFmtId="0" fontId="4" fillId="0" borderId="13" xfId="3" applyFont="1" applyBorder="1" applyAlignment="1">
      <alignment horizontal="center" wrapText="1"/>
    </xf>
    <xf numFmtId="0" fontId="4" fillId="0" borderId="20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justify" vertical="center" wrapText="1"/>
    </xf>
    <xf numFmtId="0" fontId="3" fillId="0" borderId="16" xfId="3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 applyBorder="1"/>
  </cellXfs>
  <cellStyles count="4">
    <cellStyle name="Millares" xfId="1" builtinId="3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7"/>
  <sheetViews>
    <sheetView showGridLines="0" topLeftCell="A46" zoomScale="106" zoomScaleNormal="106" workbookViewId="0">
      <selection activeCell="E55" sqref="E55"/>
    </sheetView>
  </sheetViews>
  <sheetFormatPr baseColWidth="10" defaultColWidth="11.42578125" defaultRowHeight="12.75" x14ac:dyDescent="0.2"/>
  <cols>
    <col min="1" max="1" width="11.42578125" style="1"/>
    <col min="2" max="2" width="5.85546875" style="1" customWidth="1"/>
    <col min="3" max="3" width="3.5703125" style="2" bestFit="1" customWidth="1"/>
    <col min="4" max="4" width="3.85546875" style="1" customWidth="1"/>
    <col min="5" max="5" width="52.42578125" style="1" bestFit="1" customWidth="1"/>
    <col min="6" max="6" width="11.42578125" style="1"/>
    <col min="7" max="7" width="11.85546875" style="1" bestFit="1" customWidth="1"/>
    <col min="8" max="8" width="14" style="1" bestFit="1" customWidth="1"/>
    <col min="9" max="9" width="11.42578125" style="1"/>
    <col min="10" max="10" width="10.5703125" style="3" bestFit="1" customWidth="1"/>
    <col min="11" max="11" width="11.28515625" style="3" bestFit="1" customWidth="1"/>
    <col min="12" max="13" width="12.28515625" style="3" bestFit="1" customWidth="1"/>
    <col min="14" max="14" width="15.140625" style="1" bestFit="1" customWidth="1"/>
    <col min="15" max="16384" width="11.42578125" style="1"/>
  </cols>
  <sheetData>
    <row r="1" spans="2:15" ht="13.5" thickBot="1" x14ac:dyDescent="0.25">
      <c r="C1" s="1"/>
    </row>
    <row r="2" spans="2:15" x14ac:dyDescent="0.2">
      <c r="B2" s="4"/>
      <c r="C2" s="6"/>
      <c r="D2" s="6"/>
      <c r="E2" s="6"/>
      <c r="F2" s="6"/>
      <c r="G2" s="6"/>
      <c r="H2" s="6"/>
      <c r="I2" s="6"/>
      <c r="J2" s="7"/>
      <c r="K2" s="8"/>
    </row>
    <row r="3" spans="2:15" x14ac:dyDescent="0.2">
      <c r="B3" s="9"/>
      <c r="C3" s="20" t="s">
        <v>229</v>
      </c>
      <c r="D3" s="10"/>
      <c r="E3" s="10"/>
      <c r="F3" s="10"/>
      <c r="G3" s="10"/>
      <c r="H3" s="10"/>
      <c r="I3" s="10"/>
      <c r="J3" s="11"/>
      <c r="K3" s="12"/>
    </row>
    <row r="4" spans="2:15" x14ac:dyDescent="0.2">
      <c r="B4" s="9"/>
      <c r="C4" s="10" t="s">
        <v>231</v>
      </c>
      <c r="D4" s="10"/>
      <c r="E4" s="10"/>
      <c r="F4" s="10"/>
      <c r="G4" s="10"/>
      <c r="H4" s="10"/>
      <c r="I4" s="10"/>
      <c r="J4" s="11"/>
      <c r="K4" s="12"/>
    </row>
    <row r="5" spans="2:15" x14ac:dyDescent="0.2">
      <c r="B5" s="9"/>
      <c r="C5" s="10"/>
      <c r="D5" s="10"/>
      <c r="E5" s="10"/>
      <c r="F5" s="10"/>
      <c r="G5" s="10"/>
      <c r="H5" s="10"/>
      <c r="I5" s="10"/>
      <c r="J5" s="11"/>
      <c r="K5" s="12"/>
    </row>
    <row r="6" spans="2:15" ht="15.75" x14ac:dyDescent="0.25">
      <c r="B6" s="9"/>
      <c r="C6" s="13"/>
      <c r="D6" s="378" t="s">
        <v>0</v>
      </c>
      <c r="E6" s="378"/>
      <c r="F6" s="378"/>
      <c r="G6" s="378"/>
      <c r="H6" s="378"/>
      <c r="I6" s="378"/>
      <c r="J6" s="11"/>
      <c r="K6" s="12"/>
    </row>
    <row r="7" spans="2:15" x14ac:dyDescent="0.2">
      <c r="B7" s="9"/>
      <c r="C7" s="13"/>
      <c r="D7" s="10"/>
      <c r="E7" s="10"/>
      <c r="F7" s="10"/>
      <c r="G7" s="10"/>
      <c r="H7" s="10"/>
      <c r="I7" s="10"/>
      <c r="J7" s="11"/>
      <c r="K7" s="12"/>
    </row>
    <row r="8" spans="2:15" ht="12.75" customHeight="1" x14ac:dyDescent="0.2">
      <c r="B8" s="9"/>
      <c r="C8" s="379" t="s">
        <v>1</v>
      </c>
      <c r="D8" s="379"/>
      <c r="E8" s="379"/>
      <c r="F8" s="379"/>
      <c r="G8" s="379"/>
      <c r="H8" s="379"/>
      <c r="I8" s="379"/>
      <c r="J8" s="11"/>
      <c r="K8" s="12"/>
    </row>
    <row r="9" spans="2:15" x14ac:dyDescent="0.2">
      <c r="B9" s="9"/>
      <c r="C9" s="379"/>
      <c r="D9" s="379"/>
      <c r="E9" s="379"/>
      <c r="F9" s="379"/>
      <c r="G9" s="379"/>
      <c r="H9" s="379"/>
      <c r="I9" s="379"/>
      <c r="J9" s="11"/>
      <c r="K9" s="12"/>
    </row>
    <row r="10" spans="2:15" x14ac:dyDescent="0.2">
      <c r="B10" s="9"/>
      <c r="C10" s="379"/>
      <c r="D10" s="379"/>
      <c r="E10" s="379"/>
      <c r="F10" s="379"/>
      <c r="G10" s="379"/>
      <c r="H10" s="379"/>
      <c r="I10" s="379"/>
      <c r="J10" s="11"/>
      <c r="K10" s="12"/>
    </row>
    <row r="11" spans="2:15" x14ac:dyDescent="0.2">
      <c r="B11" s="9"/>
      <c r="C11" s="13"/>
      <c r="D11" s="14"/>
      <c r="E11" s="14"/>
      <c r="F11" s="14"/>
      <c r="G11" s="14"/>
      <c r="H11" s="14"/>
      <c r="I11" s="14"/>
      <c r="J11" s="11"/>
      <c r="K11" s="12"/>
    </row>
    <row r="12" spans="2:15" x14ac:dyDescent="0.2">
      <c r="B12" s="9"/>
      <c r="C12" s="13" t="s">
        <v>2</v>
      </c>
      <c r="D12" s="380" t="s">
        <v>3</v>
      </c>
      <c r="E12" s="380"/>
      <c r="F12" s="380"/>
      <c r="G12" s="380"/>
      <c r="H12" s="380"/>
      <c r="I12" s="380"/>
      <c r="J12" s="11"/>
      <c r="K12" s="12"/>
    </row>
    <row r="13" spans="2:15" x14ac:dyDescent="0.2">
      <c r="B13" s="9"/>
      <c r="C13" s="13"/>
      <c r="D13" s="380"/>
      <c r="E13" s="380"/>
      <c r="F13" s="380"/>
      <c r="G13" s="380"/>
      <c r="H13" s="380"/>
      <c r="I13" s="380"/>
      <c r="J13" s="11"/>
      <c r="K13" s="12"/>
    </row>
    <row r="14" spans="2:15" x14ac:dyDescent="0.2">
      <c r="B14" s="9"/>
      <c r="C14" s="13" t="s">
        <v>4</v>
      </c>
      <c r="D14" s="1" t="s">
        <v>5</v>
      </c>
      <c r="E14" s="15"/>
      <c r="F14" s="15"/>
      <c r="G14" s="15"/>
      <c r="H14" s="15"/>
      <c r="I14" s="10"/>
      <c r="J14" s="11"/>
      <c r="K14" s="12"/>
    </row>
    <row r="15" spans="2:15" x14ac:dyDescent="0.2">
      <c r="B15" s="9"/>
      <c r="C15" s="13"/>
      <c r="D15" s="10"/>
      <c r="E15" s="15"/>
      <c r="F15" s="15"/>
      <c r="G15" s="15"/>
      <c r="H15" s="15"/>
      <c r="I15" s="10"/>
      <c r="J15" s="11"/>
      <c r="K15" s="12"/>
    </row>
    <row r="16" spans="2:15" ht="12.75" customHeight="1" x14ac:dyDescent="0.2">
      <c r="B16" s="9"/>
      <c r="C16" s="13" t="s">
        <v>6</v>
      </c>
      <c r="D16" s="381" t="s">
        <v>7</v>
      </c>
      <c r="E16" s="381"/>
      <c r="F16" s="381"/>
      <c r="G16" s="381"/>
      <c r="H16" s="381"/>
      <c r="I16" s="381"/>
      <c r="J16" s="11"/>
      <c r="K16" s="12"/>
      <c r="N16" s="16"/>
      <c r="O16" s="17"/>
    </row>
    <row r="17" spans="2:15" x14ac:dyDescent="0.2">
      <c r="B17" s="9"/>
      <c r="C17" s="10"/>
      <c r="D17" s="381"/>
      <c r="E17" s="381"/>
      <c r="F17" s="381"/>
      <c r="G17" s="381"/>
      <c r="H17" s="381"/>
      <c r="I17" s="381"/>
      <c r="J17" s="11"/>
      <c r="K17" s="12"/>
      <c r="M17" s="18"/>
    </row>
    <row r="18" spans="2:15" x14ac:dyDescent="0.2">
      <c r="B18" s="9"/>
      <c r="C18" s="13"/>
      <c r="D18" s="381"/>
      <c r="E18" s="381"/>
      <c r="F18" s="381"/>
      <c r="G18" s="381"/>
      <c r="H18" s="381"/>
      <c r="I18" s="381"/>
      <c r="J18" s="11"/>
      <c r="K18" s="12"/>
      <c r="M18" s="18"/>
    </row>
    <row r="19" spans="2:15" x14ac:dyDescent="0.2">
      <c r="B19" s="9"/>
      <c r="C19" s="13"/>
      <c r="D19" s="10"/>
      <c r="E19" s="15"/>
      <c r="F19" s="15"/>
      <c r="G19" s="15"/>
      <c r="H19" s="15"/>
      <c r="I19" s="10"/>
      <c r="J19" s="11"/>
      <c r="K19" s="12"/>
      <c r="N19" s="17"/>
      <c r="O19" s="19"/>
    </row>
    <row r="20" spans="2:15" x14ac:dyDescent="0.2">
      <c r="B20" s="9"/>
      <c r="C20" s="13" t="s">
        <v>8</v>
      </c>
      <c r="D20" s="381" t="s">
        <v>9</v>
      </c>
      <c r="E20" s="381"/>
      <c r="F20" s="381"/>
      <c r="G20" s="381"/>
      <c r="H20" s="381"/>
      <c r="I20" s="381"/>
      <c r="J20" s="11"/>
      <c r="K20" s="12"/>
    </row>
    <row r="21" spans="2:15" x14ac:dyDescent="0.2">
      <c r="B21" s="9"/>
      <c r="C21" s="10"/>
      <c r="D21" s="381"/>
      <c r="E21" s="381"/>
      <c r="F21" s="381"/>
      <c r="G21" s="381"/>
      <c r="H21" s="381"/>
      <c r="I21" s="381"/>
      <c r="J21" s="11"/>
      <c r="K21" s="12"/>
    </row>
    <row r="22" spans="2:15" x14ac:dyDescent="0.2">
      <c r="B22" s="9"/>
      <c r="C22" s="13"/>
      <c r="D22" s="10"/>
      <c r="E22" s="15"/>
      <c r="F22" s="15"/>
      <c r="G22" s="15"/>
      <c r="H22" s="15"/>
      <c r="I22" s="10"/>
      <c r="J22" s="11"/>
      <c r="K22" s="12"/>
    </row>
    <row r="23" spans="2:15" ht="12.75" customHeight="1" x14ac:dyDescent="0.2">
      <c r="B23" s="9"/>
      <c r="C23" s="13" t="s">
        <v>10</v>
      </c>
      <c r="D23" s="381" t="s">
        <v>11</v>
      </c>
      <c r="E23" s="381"/>
      <c r="F23" s="381"/>
      <c r="G23" s="381"/>
      <c r="H23" s="381"/>
      <c r="I23" s="381"/>
      <c r="J23" s="11"/>
      <c r="K23" s="12"/>
    </row>
    <row r="24" spans="2:15" x14ac:dyDescent="0.2">
      <c r="B24" s="9"/>
      <c r="C24" s="13"/>
      <c r="D24" s="381"/>
      <c r="E24" s="381"/>
      <c r="F24" s="381"/>
      <c r="G24" s="381"/>
      <c r="H24" s="381"/>
      <c r="I24" s="381"/>
      <c r="J24" s="11"/>
      <c r="K24" s="12"/>
    </row>
    <row r="25" spans="2:15" x14ac:dyDescent="0.2">
      <c r="B25" s="9"/>
      <c r="C25" s="10"/>
      <c r="D25" s="381"/>
      <c r="E25" s="381"/>
      <c r="F25" s="381"/>
      <c r="G25" s="381"/>
      <c r="H25" s="381"/>
      <c r="I25" s="381"/>
      <c r="J25" s="11"/>
      <c r="K25" s="12"/>
    </row>
    <row r="26" spans="2:15" x14ac:dyDescent="0.2">
      <c r="B26" s="9"/>
      <c r="C26" s="13"/>
      <c r="D26" s="10"/>
      <c r="E26" s="15"/>
      <c r="F26" s="15"/>
      <c r="G26" s="15"/>
      <c r="H26" s="15"/>
      <c r="I26" s="10"/>
      <c r="J26" s="11"/>
      <c r="K26" s="12"/>
    </row>
    <row r="27" spans="2:15" x14ac:dyDescent="0.2">
      <c r="B27" s="9"/>
      <c r="C27" s="13" t="s">
        <v>12</v>
      </c>
      <c r="D27" s="10" t="s">
        <v>13</v>
      </c>
      <c r="E27" s="15"/>
      <c r="F27" s="15"/>
      <c r="G27" s="15"/>
      <c r="H27" s="15"/>
      <c r="I27" s="10"/>
      <c r="J27" s="11"/>
      <c r="K27" s="12"/>
    </row>
    <row r="28" spans="2:15" x14ac:dyDescent="0.2">
      <c r="B28" s="9"/>
      <c r="C28" s="13"/>
      <c r="D28" s="20" t="s">
        <v>14</v>
      </c>
      <c r="E28" s="15"/>
      <c r="F28" s="15"/>
      <c r="G28" s="15"/>
      <c r="H28" s="15"/>
      <c r="I28" s="10"/>
      <c r="J28" s="11"/>
      <c r="K28" s="12"/>
    </row>
    <row r="29" spans="2:15" x14ac:dyDescent="0.2">
      <c r="B29" s="9"/>
      <c r="C29" s="13"/>
      <c r="D29" s="20" t="s">
        <v>15</v>
      </c>
      <c r="E29" s="15"/>
      <c r="F29" s="15"/>
      <c r="G29" s="15"/>
      <c r="H29" s="15"/>
      <c r="I29" s="10"/>
      <c r="J29" s="11"/>
      <c r="K29" s="12"/>
    </row>
    <row r="30" spans="2:15" x14ac:dyDescent="0.2">
      <c r="B30" s="9"/>
      <c r="C30" s="13"/>
      <c r="D30" s="10"/>
      <c r="E30" s="15"/>
      <c r="F30" s="15"/>
      <c r="G30" s="15"/>
      <c r="H30" s="15"/>
      <c r="I30" s="10"/>
      <c r="J30" s="11"/>
      <c r="K30" s="12"/>
    </row>
    <row r="31" spans="2:15" x14ac:dyDescent="0.2">
      <c r="B31" s="9"/>
      <c r="C31" s="10"/>
      <c r="D31" s="10"/>
      <c r="E31" s="15"/>
      <c r="F31" s="15"/>
      <c r="G31" s="15"/>
      <c r="H31" s="15"/>
      <c r="I31" s="10"/>
      <c r="J31" s="11"/>
      <c r="K31" s="12"/>
    </row>
    <row r="32" spans="2:15" x14ac:dyDescent="0.2">
      <c r="B32" s="9"/>
      <c r="C32" s="13"/>
      <c r="D32" s="21" t="s">
        <v>16</v>
      </c>
      <c r="E32" s="15"/>
      <c r="F32" s="15"/>
      <c r="G32" s="15"/>
      <c r="H32" s="15"/>
      <c r="I32" s="10"/>
      <c r="J32" s="11"/>
      <c r="K32" s="12"/>
    </row>
    <row r="33" spans="2:13" x14ac:dyDescent="0.2">
      <c r="B33" s="9"/>
      <c r="C33" s="13"/>
      <c r="D33" s="21"/>
      <c r="E33" s="15"/>
      <c r="F33" s="15"/>
      <c r="G33" s="15"/>
      <c r="H33" s="15"/>
      <c r="I33" s="10"/>
      <c r="J33" s="11"/>
      <c r="K33" s="12"/>
    </row>
    <row r="34" spans="2:13" x14ac:dyDescent="0.2">
      <c r="B34" s="9"/>
      <c r="C34" s="13"/>
      <c r="D34" s="22" t="s">
        <v>17</v>
      </c>
      <c r="E34" s="20" t="s">
        <v>18</v>
      </c>
      <c r="F34" s="10"/>
      <c r="G34" s="23">
        <v>5500000</v>
      </c>
      <c r="H34" s="10"/>
      <c r="I34" s="10"/>
      <c r="J34" s="11"/>
      <c r="K34" s="12"/>
      <c r="L34" s="18"/>
      <c r="M34" s="18"/>
    </row>
    <row r="35" spans="2:13" x14ac:dyDescent="0.2">
      <c r="B35" s="9"/>
      <c r="C35" s="13"/>
      <c r="D35" s="22"/>
      <c r="E35" s="24"/>
      <c r="F35" s="10"/>
      <c r="G35" s="10"/>
      <c r="H35" s="23"/>
      <c r="I35" s="10"/>
      <c r="J35" s="11"/>
      <c r="K35" s="12"/>
      <c r="L35" s="18"/>
      <c r="M35" s="18"/>
    </row>
    <row r="36" spans="2:13" ht="15" x14ac:dyDescent="0.25">
      <c r="B36" s="9"/>
      <c r="C36" s="13"/>
      <c r="D36" s="22" t="s">
        <v>19</v>
      </c>
      <c r="E36" s="25" t="s">
        <v>20</v>
      </c>
      <c r="F36" s="10"/>
      <c r="G36" s="10"/>
      <c r="H36" s="10"/>
      <c r="I36" s="26"/>
      <c r="J36" s="27"/>
      <c r="K36" s="28"/>
    </row>
    <row r="37" spans="2:13" x14ac:dyDescent="0.2">
      <c r="B37" s="9"/>
      <c r="C37" s="13"/>
      <c r="D37" s="22"/>
      <c r="E37" s="10" t="s">
        <v>21</v>
      </c>
      <c r="F37" s="10"/>
      <c r="G37" s="23">
        <v>450000</v>
      </c>
      <c r="H37" s="10"/>
      <c r="I37" s="10"/>
      <c r="J37" s="11"/>
      <c r="K37" s="12"/>
    </row>
    <row r="38" spans="2:13" x14ac:dyDescent="0.2">
      <c r="B38" s="9"/>
      <c r="C38" s="13"/>
      <c r="D38" s="22"/>
      <c r="E38" s="10" t="s">
        <v>22</v>
      </c>
      <c r="F38" s="10"/>
      <c r="G38" s="23">
        <v>300000</v>
      </c>
      <c r="H38" s="10"/>
      <c r="I38" s="10"/>
      <c r="J38" s="11"/>
      <c r="K38" s="12"/>
    </row>
    <row r="39" spans="2:13" x14ac:dyDescent="0.2">
      <c r="B39" s="9"/>
      <c r="C39" s="13"/>
      <c r="D39" s="22"/>
      <c r="E39" s="10" t="s">
        <v>23</v>
      </c>
      <c r="F39" s="10"/>
      <c r="G39" s="23">
        <v>650000</v>
      </c>
      <c r="H39" s="10"/>
      <c r="I39" s="10"/>
      <c r="J39" s="11"/>
      <c r="K39" s="12"/>
    </row>
    <row r="40" spans="2:13" x14ac:dyDescent="0.2">
      <c r="B40" s="9"/>
      <c r="C40" s="13"/>
      <c r="D40" s="22"/>
      <c r="E40" s="10" t="s">
        <v>24</v>
      </c>
      <c r="F40" s="10"/>
      <c r="G40" s="23">
        <v>1875000</v>
      </c>
      <c r="H40" s="10"/>
      <c r="I40" s="10"/>
      <c r="J40" s="11"/>
      <c r="K40" s="12"/>
    </row>
    <row r="41" spans="2:13" x14ac:dyDescent="0.2">
      <c r="B41" s="9"/>
      <c r="C41" s="13"/>
      <c r="D41" s="22"/>
      <c r="E41" s="10" t="s">
        <v>25</v>
      </c>
      <c r="F41" s="10"/>
      <c r="G41" s="23">
        <v>1250000</v>
      </c>
      <c r="H41" s="10"/>
      <c r="I41" s="10"/>
      <c r="J41" s="11"/>
      <c r="K41" s="12"/>
    </row>
    <row r="42" spans="2:13" x14ac:dyDescent="0.2">
      <c r="B42" s="9"/>
      <c r="C42" s="13"/>
      <c r="D42" s="22"/>
      <c r="E42" s="10" t="s">
        <v>26</v>
      </c>
      <c r="F42" s="10"/>
      <c r="G42" s="23">
        <v>150000</v>
      </c>
      <c r="H42" s="10"/>
      <c r="I42" s="10"/>
      <c r="J42" s="11"/>
      <c r="K42" s="12"/>
    </row>
    <row r="43" spans="2:13" x14ac:dyDescent="0.2">
      <c r="B43" s="9"/>
      <c r="C43" s="13"/>
      <c r="D43" s="22"/>
      <c r="E43" s="10"/>
      <c r="F43" s="10"/>
      <c r="G43" s="23"/>
      <c r="H43" s="10"/>
      <c r="I43" s="10"/>
      <c r="J43" s="11"/>
      <c r="K43" s="12"/>
    </row>
    <row r="44" spans="2:13" ht="15" x14ac:dyDescent="0.25">
      <c r="B44" s="9"/>
      <c r="C44" s="13"/>
      <c r="D44" s="22" t="s">
        <v>27</v>
      </c>
      <c r="E44" s="25" t="s">
        <v>28</v>
      </c>
      <c r="F44" s="10"/>
      <c r="G44" s="23"/>
      <c r="H44" s="10"/>
      <c r="I44" s="10"/>
      <c r="J44" s="11"/>
      <c r="K44" s="12"/>
    </row>
    <row r="45" spans="2:13" x14ac:dyDescent="0.2">
      <c r="B45" s="9"/>
      <c r="C45" s="13"/>
      <c r="D45" s="22"/>
      <c r="E45" s="29" t="s">
        <v>29</v>
      </c>
      <c r="F45" s="10"/>
      <c r="G45" s="30">
        <f>+'Desarrollo Ejercicio n°1 A'!E19</f>
        <v>-1422000</v>
      </c>
      <c r="H45" s="10"/>
      <c r="I45" s="10"/>
      <c r="J45" s="11"/>
      <c r="K45" s="12"/>
    </row>
    <row r="46" spans="2:13" x14ac:dyDescent="0.2">
      <c r="B46" s="9"/>
      <c r="C46" s="13"/>
      <c r="D46" s="22"/>
      <c r="E46" s="29" t="s">
        <v>30</v>
      </c>
      <c r="F46" s="10"/>
      <c r="G46" s="30">
        <v>-5100000</v>
      </c>
      <c r="H46" s="10"/>
      <c r="I46" s="10"/>
      <c r="J46" s="11"/>
      <c r="K46" s="12"/>
    </row>
    <row r="47" spans="2:13" x14ac:dyDescent="0.2">
      <c r="B47" s="9"/>
      <c r="C47" s="13"/>
      <c r="D47" s="22"/>
      <c r="E47" s="29" t="s">
        <v>31</v>
      </c>
      <c r="F47" s="10"/>
      <c r="G47" s="30">
        <v>-2000000</v>
      </c>
      <c r="H47" s="10"/>
      <c r="I47" s="10"/>
      <c r="J47" s="11"/>
      <c r="K47" s="12"/>
    </row>
    <row r="48" spans="2:13" x14ac:dyDescent="0.2">
      <c r="B48" s="9"/>
      <c r="C48" s="13"/>
      <c r="D48" s="22"/>
      <c r="E48" s="29"/>
      <c r="F48" s="10"/>
      <c r="G48" s="30"/>
      <c r="H48" s="10"/>
      <c r="I48" s="10"/>
      <c r="J48" s="11"/>
      <c r="K48" s="12"/>
    </row>
    <row r="49" spans="2:11" x14ac:dyDescent="0.2">
      <c r="B49" s="9"/>
      <c r="C49" s="13"/>
      <c r="E49" s="25" t="s">
        <v>32</v>
      </c>
      <c r="F49" s="10"/>
      <c r="G49" s="30"/>
      <c r="H49" s="10"/>
      <c r="I49" s="10"/>
      <c r="J49" s="11"/>
      <c r="K49" s="12"/>
    </row>
    <row r="50" spans="2:11" x14ac:dyDescent="0.2">
      <c r="B50" s="9"/>
      <c r="C50" s="13"/>
      <c r="D50" s="22"/>
      <c r="E50" s="31" t="s">
        <v>33</v>
      </c>
      <c r="F50" s="10"/>
      <c r="G50" s="30"/>
      <c r="H50" s="10"/>
      <c r="I50" s="10"/>
      <c r="J50" s="11"/>
      <c r="K50" s="12"/>
    </row>
    <row r="51" spans="2:11" x14ac:dyDescent="0.2">
      <c r="B51" s="9"/>
      <c r="C51" s="13"/>
      <c r="D51" s="22"/>
      <c r="E51" s="29"/>
      <c r="F51" s="10"/>
      <c r="G51" s="30"/>
      <c r="H51" s="10"/>
      <c r="I51" s="10"/>
      <c r="J51" s="11"/>
      <c r="K51" s="12"/>
    </row>
    <row r="52" spans="2:11" x14ac:dyDescent="0.2">
      <c r="B52" s="9"/>
      <c r="C52" s="32" t="s">
        <v>34</v>
      </c>
      <c r="D52" s="33"/>
      <c r="E52" s="32"/>
      <c r="F52" s="34"/>
      <c r="G52" s="35"/>
      <c r="H52" s="35"/>
      <c r="I52" s="10"/>
      <c r="J52" s="11"/>
      <c r="K52" s="12"/>
    </row>
    <row r="53" spans="2:11" x14ac:dyDescent="0.2">
      <c r="B53" s="9"/>
      <c r="C53" s="36" t="s">
        <v>35</v>
      </c>
      <c r="D53" s="32" t="s">
        <v>36</v>
      </c>
      <c r="E53" s="32"/>
      <c r="F53" s="34"/>
      <c r="G53" s="35"/>
      <c r="H53" s="35"/>
      <c r="I53" s="10"/>
      <c r="J53" s="11"/>
      <c r="K53" s="12"/>
    </row>
    <row r="54" spans="2:11" x14ac:dyDescent="0.2">
      <c r="B54" s="9"/>
      <c r="C54" s="37"/>
      <c r="D54" s="33"/>
      <c r="E54" s="32"/>
      <c r="F54" s="34"/>
      <c r="G54" s="35"/>
      <c r="H54" s="35"/>
      <c r="I54" s="10"/>
      <c r="J54" s="11"/>
      <c r="K54" s="12"/>
    </row>
    <row r="55" spans="2:11" x14ac:dyDescent="0.2">
      <c r="B55" s="9"/>
      <c r="C55" s="36" t="s">
        <v>37</v>
      </c>
      <c r="D55" s="32" t="s">
        <v>38</v>
      </c>
      <c r="E55" s="32"/>
      <c r="F55" s="34"/>
      <c r="G55" s="35"/>
      <c r="H55" s="35"/>
      <c r="I55" s="10"/>
      <c r="J55" s="11"/>
      <c r="K55" s="12"/>
    </row>
    <row r="56" spans="2:11" x14ac:dyDescent="0.2">
      <c r="B56" s="9"/>
      <c r="C56" s="13"/>
      <c r="D56" s="22"/>
      <c r="E56" s="29"/>
      <c r="F56" s="10"/>
      <c r="G56" s="23"/>
      <c r="H56" s="10"/>
      <c r="I56" s="10"/>
      <c r="J56" s="11"/>
      <c r="K56" s="12"/>
    </row>
    <row r="57" spans="2:11" x14ac:dyDescent="0.2">
      <c r="B57" s="9"/>
      <c r="C57" s="36" t="s">
        <v>39</v>
      </c>
      <c r="D57" s="32" t="s">
        <v>40</v>
      </c>
      <c r="E57" s="29"/>
      <c r="F57" s="10"/>
      <c r="G57" s="23"/>
      <c r="H57" s="10"/>
      <c r="I57" s="10"/>
      <c r="J57" s="11"/>
      <c r="K57" s="12"/>
    </row>
    <row r="58" spans="2:11" ht="12.75" customHeight="1" thickBot="1" x14ac:dyDescent="0.25">
      <c r="B58" s="38"/>
      <c r="C58" s="39"/>
      <c r="D58" s="40"/>
      <c r="E58" s="382"/>
      <c r="F58" s="382"/>
      <c r="G58" s="41"/>
      <c r="H58" s="42"/>
      <c r="I58" s="42"/>
      <c r="J58" s="43"/>
      <c r="K58" s="44"/>
    </row>
    <row r="59" spans="2:11" ht="18" x14ac:dyDescent="0.25">
      <c r="D59" s="45"/>
      <c r="E59" s="45"/>
      <c r="F59" s="45"/>
      <c r="G59" s="46"/>
      <c r="H59" s="47"/>
      <c r="J59" s="48"/>
    </row>
    <row r="60" spans="2:11" x14ac:dyDescent="0.2">
      <c r="E60" s="49"/>
      <c r="G60" s="50"/>
    </row>
    <row r="61" spans="2:11" x14ac:dyDescent="0.2">
      <c r="E61" s="51"/>
      <c r="F61" s="51"/>
      <c r="H61" s="52"/>
    </row>
    <row r="62" spans="2:11" ht="12.75" customHeight="1" x14ac:dyDescent="0.2">
      <c r="E62" s="383"/>
      <c r="F62" s="383"/>
      <c r="G62" s="383"/>
      <c r="H62" s="383"/>
    </row>
    <row r="63" spans="2:11" x14ac:dyDescent="0.2">
      <c r="E63" s="53"/>
      <c r="F63" s="53"/>
      <c r="G63" s="53"/>
      <c r="H63" s="53"/>
    </row>
    <row r="64" spans="2:11" ht="12.75" customHeight="1" x14ac:dyDescent="0.2">
      <c r="E64" s="383"/>
      <c r="F64" s="383"/>
      <c r="G64" s="383"/>
      <c r="H64" s="383"/>
    </row>
    <row r="65" spans="5:8" x14ac:dyDescent="0.2">
      <c r="E65" s="377"/>
      <c r="F65" s="377"/>
      <c r="G65" s="377"/>
      <c r="H65" s="377"/>
    </row>
    <row r="66" spans="5:8" x14ac:dyDescent="0.2">
      <c r="E66" s="383"/>
      <c r="F66" s="383"/>
      <c r="G66" s="383"/>
      <c r="H66" s="383"/>
    </row>
    <row r="67" spans="5:8" x14ac:dyDescent="0.2">
      <c r="E67" s="377"/>
      <c r="F67" s="377"/>
      <c r="G67" s="377"/>
      <c r="H67" s="377"/>
    </row>
  </sheetData>
  <mergeCells count="12">
    <mergeCell ref="E67:H67"/>
    <mergeCell ref="D6:I6"/>
    <mergeCell ref="C8:I10"/>
    <mergeCell ref="D12:I13"/>
    <mergeCell ref="D16:I18"/>
    <mergeCell ref="D20:I21"/>
    <mergeCell ref="D23:I25"/>
    <mergeCell ref="E58:F58"/>
    <mergeCell ref="E62:H62"/>
    <mergeCell ref="E64:H64"/>
    <mergeCell ref="E65:H65"/>
    <mergeCell ref="E66:H66"/>
  </mergeCells>
  <printOptions horizontalCentered="1"/>
  <pageMargins left="0.25" right="0.25" top="0.75" bottom="0.75" header="0.3" footer="0.3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83"/>
  <sheetViews>
    <sheetView showGridLines="0" topLeftCell="A7" zoomScaleNormal="100" workbookViewId="0">
      <selection activeCell="C2" sqref="C2:C4"/>
    </sheetView>
  </sheetViews>
  <sheetFormatPr baseColWidth="10" defaultColWidth="11.42578125" defaultRowHeight="12.75" x14ac:dyDescent="0.2"/>
  <cols>
    <col min="1" max="2" width="11.42578125" style="1"/>
    <col min="3" max="3" width="3.5703125" style="2" bestFit="1" customWidth="1"/>
    <col min="4" max="4" width="3.85546875" style="1" customWidth="1"/>
    <col min="5" max="5" width="52.42578125" style="1" bestFit="1" customWidth="1"/>
    <col min="6" max="6" width="14.42578125" style="1" customWidth="1"/>
    <col min="7" max="7" width="11.85546875" style="1" bestFit="1" customWidth="1"/>
    <col min="8" max="8" width="14" style="1" bestFit="1" customWidth="1"/>
    <col min="9" max="9" width="11.42578125" style="1"/>
    <col min="10" max="10" width="10.5703125" style="3" bestFit="1" customWidth="1"/>
    <col min="11" max="13" width="11.28515625" style="3" bestFit="1" customWidth="1"/>
    <col min="14" max="14" width="15.140625" style="1" bestFit="1" customWidth="1"/>
    <col min="15" max="15" width="13.7109375" style="1" bestFit="1" customWidth="1"/>
    <col min="16" max="16384" width="11.42578125" style="1"/>
  </cols>
  <sheetData>
    <row r="1" spans="2:10" ht="13.5" thickBot="1" x14ac:dyDescent="0.25"/>
    <row r="2" spans="2:10" x14ac:dyDescent="0.2">
      <c r="B2" s="4"/>
      <c r="C2" s="5" t="s">
        <v>229</v>
      </c>
      <c r="D2" s="6"/>
      <c r="E2" s="6"/>
      <c r="F2" s="6"/>
      <c r="G2" s="6"/>
      <c r="H2" s="6"/>
      <c r="I2" s="6"/>
      <c r="J2" s="8"/>
    </row>
    <row r="3" spans="2:10" x14ac:dyDescent="0.2">
      <c r="B3" s="9"/>
      <c r="C3" s="10" t="s">
        <v>231</v>
      </c>
      <c r="D3" s="10"/>
      <c r="E3" s="10"/>
      <c r="F3" s="10"/>
      <c r="G3" s="10"/>
      <c r="H3" s="10"/>
      <c r="I3" s="10"/>
      <c r="J3" s="12"/>
    </row>
    <row r="4" spans="2:10" x14ac:dyDescent="0.2">
      <c r="B4" s="9"/>
      <c r="C4" s="10" t="s">
        <v>230</v>
      </c>
      <c r="D4" s="10"/>
      <c r="E4" s="10"/>
      <c r="F4" s="10"/>
      <c r="G4" s="10"/>
      <c r="H4" s="10"/>
      <c r="I4" s="10"/>
      <c r="J4" s="12"/>
    </row>
    <row r="5" spans="2:10" x14ac:dyDescent="0.2">
      <c r="B5" s="9"/>
      <c r="C5" s="13"/>
      <c r="D5" s="10"/>
      <c r="E5" s="10"/>
      <c r="F5" s="10"/>
      <c r="G5" s="10"/>
      <c r="H5" s="10"/>
      <c r="I5" s="10"/>
      <c r="J5" s="12"/>
    </row>
    <row r="6" spans="2:10" ht="15.75" x14ac:dyDescent="0.25">
      <c r="B6" s="9"/>
      <c r="C6" s="13"/>
      <c r="D6" s="378" t="s">
        <v>225</v>
      </c>
      <c r="E6" s="378"/>
      <c r="F6" s="378"/>
      <c r="G6" s="378"/>
      <c r="H6" s="378"/>
      <c r="I6" s="378"/>
      <c r="J6" s="12"/>
    </row>
    <row r="7" spans="2:10" x14ac:dyDescent="0.2">
      <c r="B7" s="9"/>
      <c r="C7" s="13"/>
      <c r="D7" s="10"/>
      <c r="E7" s="10"/>
      <c r="F7" s="10"/>
      <c r="G7" s="10"/>
      <c r="H7" s="10"/>
      <c r="I7" s="10"/>
      <c r="J7" s="12"/>
    </row>
    <row r="8" spans="2:10" ht="12.75" customHeight="1" x14ac:dyDescent="0.2">
      <c r="B8" s="9"/>
      <c r="C8" s="379" t="s">
        <v>202</v>
      </c>
      <c r="D8" s="379"/>
      <c r="E8" s="379"/>
      <c r="F8" s="379"/>
      <c r="G8" s="379"/>
      <c r="H8" s="379"/>
      <c r="I8" s="379"/>
      <c r="J8" s="12"/>
    </row>
    <row r="9" spans="2:10" x14ac:dyDescent="0.2">
      <c r="B9" s="9"/>
      <c r="C9" s="379"/>
      <c r="D9" s="379"/>
      <c r="E9" s="379"/>
      <c r="F9" s="379"/>
      <c r="G9" s="379"/>
      <c r="H9" s="379"/>
      <c r="I9" s="379"/>
      <c r="J9" s="12"/>
    </row>
    <row r="10" spans="2:10" ht="26.25" customHeight="1" x14ac:dyDescent="0.2">
      <c r="B10" s="9"/>
      <c r="C10" s="379"/>
      <c r="D10" s="379"/>
      <c r="E10" s="379"/>
      <c r="F10" s="379"/>
      <c r="G10" s="379"/>
      <c r="H10" s="379"/>
      <c r="I10" s="379"/>
      <c r="J10" s="12"/>
    </row>
    <row r="11" spans="2:10" x14ac:dyDescent="0.2">
      <c r="B11" s="9"/>
      <c r="C11" s="13"/>
      <c r="D11" s="241"/>
      <c r="E11" s="241"/>
      <c r="F11" s="241"/>
      <c r="G11" s="241"/>
      <c r="H11" s="241"/>
      <c r="I11" s="241"/>
      <c r="J11" s="12"/>
    </row>
    <row r="12" spans="2:10" x14ac:dyDescent="0.2">
      <c r="B12" s="9"/>
      <c r="C12" s="13" t="s">
        <v>2</v>
      </c>
      <c r="D12" s="380" t="s">
        <v>203</v>
      </c>
      <c r="E12" s="380"/>
      <c r="F12" s="380"/>
      <c r="G12" s="380"/>
      <c r="H12" s="380"/>
      <c r="I12" s="380"/>
      <c r="J12" s="12"/>
    </row>
    <row r="13" spans="2:10" ht="31.5" customHeight="1" x14ac:dyDescent="0.2">
      <c r="B13" s="9"/>
      <c r="C13" s="13"/>
      <c r="D13" s="380"/>
      <c r="E13" s="380"/>
      <c r="F13" s="380"/>
      <c r="G13" s="380"/>
      <c r="H13" s="380"/>
      <c r="I13" s="380"/>
      <c r="J13" s="12"/>
    </row>
    <row r="14" spans="2:10" x14ac:dyDescent="0.2">
      <c r="B14" s="9"/>
      <c r="C14" s="13"/>
      <c r="D14" s="242"/>
      <c r="E14" s="242"/>
      <c r="F14" s="242"/>
      <c r="G14" s="242"/>
      <c r="H14" s="242"/>
      <c r="I14" s="242"/>
      <c r="J14" s="12"/>
    </row>
    <row r="15" spans="2:10" x14ac:dyDescent="0.2">
      <c r="B15" s="9"/>
      <c r="C15" s="29" t="s">
        <v>4</v>
      </c>
      <c r="D15" s="192" t="s">
        <v>97</v>
      </c>
      <c r="E15" s="192"/>
      <c r="F15" s="192"/>
      <c r="G15" s="192"/>
      <c r="H15" s="192"/>
      <c r="I15" s="192"/>
      <c r="J15" s="12"/>
    </row>
    <row r="16" spans="2:10" x14ac:dyDescent="0.2">
      <c r="B16" s="9"/>
      <c r="C16" s="29"/>
      <c r="D16" s="192"/>
      <c r="E16" s="192"/>
      <c r="F16" s="192"/>
      <c r="G16" s="192"/>
      <c r="H16" s="192"/>
      <c r="I16" s="192"/>
      <c r="J16" s="12"/>
    </row>
    <row r="17" spans="2:15" x14ac:dyDescent="0.2">
      <c r="B17" s="9"/>
      <c r="C17" s="29"/>
      <c r="D17" s="192"/>
      <c r="E17" s="58" t="s">
        <v>62</v>
      </c>
      <c r="F17" s="93">
        <v>10000000</v>
      </c>
      <c r="G17" s="192"/>
      <c r="H17" s="192"/>
      <c r="I17" s="192"/>
      <c r="J17" s="12"/>
    </row>
    <row r="18" spans="2:15" x14ac:dyDescent="0.2">
      <c r="B18" s="9"/>
      <c r="C18" s="29"/>
      <c r="D18" s="192"/>
      <c r="E18" s="58" t="s">
        <v>98</v>
      </c>
      <c r="F18" s="93">
        <v>2400000</v>
      </c>
      <c r="G18" s="192"/>
      <c r="H18" s="192"/>
      <c r="I18" s="192"/>
      <c r="J18" s="12"/>
    </row>
    <row r="19" spans="2:15" x14ac:dyDescent="0.2">
      <c r="B19" s="9"/>
      <c r="C19" s="29"/>
      <c r="D19" s="192"/>
      <c r="E19" s="58" t="s">
        <v>99</v>
      </c>
      <c r="F19" s="294">
        <f>+F24</f>
        <v>0.31578899999999999</v>
      </c>
      <c r="G19" s="192"/>
      <c r="H19" s="192"/>
      <c r="I19" s="192"/>
      <c r="J19" s="12"/>
    </row>
    <row r="20" spans="2:15" x14ac:dyDescent="0.2">
      <c r="B20" s="9"/>
      <c r="C20" s="29"/>
      <c r="D20" s="192"/>
      <c r="E20" s="58"/>
      <c r="F20" s="58"/>
      <c r="G20" s="192"/>
      <c r="H20" s="192"/>
      <c r="I20" s="192"/>
      <c r="J20" s="12"/>
    </row>
    <row r="21" spans="2:15" x14ac:dyDescent="0.2">
      <c r="B21" s="9"/>
      <c r="C21" s="29"/>
      <c r="D21" s="192"/>
      <c r="E21" s="61" t="s">
        <v>100</v>
      </c>
      <c r="F21" s="58"/>
      <c r="G21" s="192"/>
      <c r="H21" s="192"/>
      <c r="I21" s="192"/>
      <c r="J21" s="12"/>
    </row>
    <row r="22" spans="2:15" x14ac:dyDescent="0.2">
      <c r="B22" s="9"/>
      <c r="C22" s="29"/>
      <c r="D22" s="192"/>
      <c r="E22" s="58" t="s">
        <v>101</v>
      </c>
      <c r="F22" s="169">
        <v>2400000</v>
      </c>
      <c r="G22" s="192"/>
      <c r="H22" s="192"/>
      <c r="I22" s="192"/>
      <c r="J22" s="12"/>
    </row>
    <row r="23" spans="2:15" x14ac:dyDescent="0.2">
      <c r="B23" s="9"/>
      <c r="C23" s="29"/>
      <c r="D23" s="192"/>
      <c r="E23" s="58" t="s">
        <v>102</v>
      </c>
      <c r="F23" s="93">
        <v>7600000</v>
      </c>
      <c r="G23" s="192"/>
      <c r="H23" s="192"/>
      <c r="I23" s="192"/>
      <c r="J23" s="12"/>
    </row>
    <row r="24" spans="2:15" x14ac:dyDescent="0.2">
      <c r="B24" s="9"/>
      <c r="C24" s="29"/>
      <c r="D24" s="192"/>
      <c r="E24" s="117" t="s">
        <v>103</v>
      </c>
      <c r="F24" s="293">
        <f>+ROUND(F22/F23,6)</f>
        <v>0.31578899999999999</v>
      </c>
      <c r="G24" s="192"/>
      <c r="H24" s="192"/>
      <c r="I24" s="192"/>
      <c r="J24" s="12"/>
    </row>
    <row r="25" spans="2:15" x14ac:dyDescent="0.2">
      <c r="B25" s="9"/>
      <c r="C25" s="13"/>
      <c r="D25" s="242"/>
      <c r="E25" s="242"/>
      <c r="F25" s="242"/>
      <c r="G25" s="242"/>
      <c r="H25" s="242"/>
      <c r="I25" s="242"/>
      <c r="J25" s="12"/>
    </row>
    <row r="26" spans="2:15" x14ac:dyDescent="0.2">
      <c r="B26" s="9"/>
      <c r="C26" s="13"/>
      <c r="D26" s="242"/>
      <c r="E26" s="242"/>
      <c r="F26" s="242"/>
      <c r="G26" s="242"/>
      <c r="H26" s="242"/>
      <c r="I26" s="242"/>
      <c r="J26" s="12"/>
    </row>
    <row r="27" spans="2:15" ht="12.75" customHeight="1" x14ac:dyDescent="0.2">
      <c r="B27" s="9"/>
      <c r="C27" s="391" t="s">
        <v>104</v>
      </c>
      <c r="D27" s="391"/>
      <c r="E27" s="391"/>
      <c r="F27" s="391"/>
      <c r="G27" s="391"/>
      <c r="H27" s="391"/>
      <c r="I27" s="391"/>
      <c r="J27" s="12"/>
    </row>
    <row r="28" spans="2:15" x14ac:dyDescent="0.2">
      <c r="B28" s="9"/>
      <c r="C28" s="13"/>
      <c r="D28" s="292">
        <v>-5405210</v>
      </c>
      <c r="E28" s="243"/>
      <c r="F28" s="243"/>
      <c r="G28" s="243"/>
      <c r="H28" s="243"/>
      <c r="I28" s="243"/>
      <c r="J28" s="12"/>
    </row>
    <row r="29" spans="2:15" x14ac:dyDescent="0.2">
      <c r="B29" s="9"/>
      <c r="C29" s="13" t="s">
        <v>6</v>
      </c>
      <c r="D29" s="10" t="s">
        <v>5</v>
      </c>
      <c r="E29" s="15"/>
      <c r="F29" s="15"/>
      <c r="G29" s="15"/>
      <c r="H29" s="15"/>
      <c r="I29" s="10"/>
      <c r="J29" s="12"/>
      <c r="O29" s="244"/>
    </row>
    <row r="30" spans="2:15" x14ac:dyDescent="0.2">
      <c r="B30" s="9"/>
      <c r="C30" s="13"/>
      <c r="D30" s="10"/>
      <c r="E30" s="15"/>
      <c r="F30" s="15"/>
      <c r="G30" s="15"/>
      <c r="H30" s="15"/>
      <c r="I30" s="10"/>
      <c r="J30" s="12"/>
    </row>
    <row r="31" spans="2:15" ht="12.75" customHeight="1" x14ac:dyDescent="0.2">
      <c r="B31" s="9"/>
      <c r="C31" s="13" t="s">
        <v>8</v>
      </c>
      <c r="D31" s="381" t="s">
        <v>7</v>
      </c>
      <c r="E31" s="381"/>
      <c r="F31" s="381"/>
      <c r="G31" s="381"/>
      <c r="H31" s="381"/>
      <c r="I31" s="381"/>
      <c r="J31" s="12"/>
      <c r="N31" s="16"/>
      <c r="O31" s="17"/>
    </row>
    <row r="32" spans="2:15" x14ac:dyDescent="0.2">
      <c r="B32" s="9"/>
      <c r="C32" s="10"/>
      <c r="D32" s="381"/>
      <c r="E32" s="381"/>
      <c r="F32" s="381"/>
      <c r="G32" s="381"/>
      <c r="H32" s="381"/>
      <c r="I32" s="381"/>
      <c r="J32" s="12"/>
      <c r="M32" s="18"/>
    </row>
    <row r="33" spans="2:15" x14ac:dyDescent="0.2">
      <c r="B33" s="9"/>
      <c r="C33" s="13"/>
      <c r="D33" s="381"/>
      <c r="E33" s="381"/>
      <c r="F33" s="381"/>
      <c r="G33" s="381"/>
      <c r="H33" s="381"/>
      <c r="I33" s="381"/>
      <c r="J33" s="12"/>
      <c r="M33" s="18"/>
    </row>
    <row r="34" spans="2:15" x14ac:dyDescent="0.2">
      <c r="B34" s="9"/>
      <c r="C34" s="13"/>
      <c r="D34" s="10"/>
      <c r="E34" s="15"/>
      <c r="F34" s="15"/>
      <c r="G34" s="15"/>
      <c r="H34" s="15"/>
      <c r="I34" s="10"/>
      <c r="J34" s="12"/>
      <c r="N34" s="17"/>
      <c r="O34" s="19"/>
    </row>
    <row r="35" spans="2:15" ht="12.75" customHeight="1" x14ac:dyDescent="0.2">
      <c r="B35" s="9"/>
      <c r="C35" s="13" t="s">
        <v>10</v>
      </c>
      <c r="D35" s="381" t="s">
        <v>122</v>
      </c>
      <c r="E35" s="381"/>
      <c r="F35" s="381"/>
      <c r="G35" s="381"/>
      <c r="H35" s="381"/>
      <c r="I35" s="381"/>
      <c r="J35" s="12"/>
    </row>
    <row r="36" spans="2:15" x14ac:dyDescent="0.2">
      <c r="B36" s="9"/>
      <c r="C36" s="10"/>
      <c r="D36" s="381"/>
      <c r="E36" s="381"/>
      <c r="F36" s="381"/>
      <c r="G36" s="381"/>
      <c r="H36" s="381"/>
      <c r="I36" s="381"/>
      <c r="J36" s="12"/>
    </row>
    <row r="37" spans="2:15" x14ac:dyDescent="0.2">
      <c r="B37" s="9"/>
      <c r="C37" s="13"/>
      <c r="D37" s="10"/>
      <c r="E37" s="15"/>
      <c r="F37" s="15"/>
      <c r="G37" s="15"/>
      <c r="H37" s="15"/>
      <c r="I37" s="10"/>
      <c r="J37" s="12"/>
    </row>
    <row r="38" spans="2:15" ht="12.75" customHeight="1" x14ac:dyDescent="0.2">
      <c r="B38" s="9"/>
      <c r="C38" s="13" t="s">
        <v>12</v>
      </c>
      <c r="D38" s="381" t="s">
        <v>123</v>
      </c>
      <c r="E38" s="381"/>
      <c r="F38" s="381"/>
      <c r="G38" s="381"/>
      <c r="H38" s="381"/>
      <c r="I38" s="381"/>
      <c r="J38" s="12"/>
    </row>
    <row r="39" spans="2:15" x14ac:dyDescent="0.2">
      <c r="B39" s="9"/>
      <c r="C39" s="13"/>
      <c r="D39" s="381"/>
      <c r="E39" s="381"/>
      <c r="F39" s="381"/>
      <c r="G39" s="381"/>
      <c r="H39" s="381"/>
      <c r="I39" s="381"/>
      <c r="J39" s="12"/>
    </row>
    <row r="40" spans="2:15" x14ac:dyDescent="0.2">
      <c r="B40" s="9"/>
      <c r="C40" s="10"/>
      <c r="D40" s="381"/>
      <c r="E40" s="381"/>
      <c r="F40" s="381"/>
      <c r="G40" s="381"/>
      <c r="H40" s="381"/>
      <c r="I40" s="381"/>
      <c r="J40" s="12"/>
    </row>
    <row r="41" spans="2:15" x14ac:dyDescent="0.2">
      <c r="B41" s="9"/>
      <c r="C41" s="13"/>
      <c r="D41" s="10"/>
      <c r="E41" s="15"/>
      <c r="F41" s="15"/>
      <c r="G41" s="15"/>
      <c r="H41" s="15"/>
      <c r="I41" s="10"/>
      <c r="J41" s="12"/>
    </row>
    <row r="42" spans="2:15" x14ac:dyDescent="0.2">
      <c r="B42" s="9"/>
      <c r="C42" s="13" t="s">
        <v>105</v>
      </c>
      <c r="D42" s="24" t="s">
        <v>204</v>
      </c>
      <c r="E42" s="15"/>
      <c r="F42" s="15"/>
      <c r="G42" s="15"/>
      <c r="H42" s="15"/>
      <c r="I42" s="10"/>
      <c r="J42" s="12"/>
    </row>
    <row r="43" spans="2:15" x14ac:dyDescent="0.2">
      <c r="B43" s="9"/>
      <c r="C43" s="10"/>
      <c r="D43" s="20" t="s">
        <v>206</v>
      </c>
      <c r="E43" s="15"/>
      <c r="F43" s="15"/>
      <c r="G43" s="15"/>
      <c r="H43" s="15"/>
      <c r="I43" s="10"/>
      <c r="J43" s="12"/>
    </row>
    <row r="44" spans="2:15" x14ac:dyDescent="0.2">
      <c r="B44" s="9"/>
      <c r="C44" s="10"/>
      <c r="D44" s="20" t="s">
        <v>207</v>
      </c>
      <c r="E44" s="15"/>
      <c r="F44" s="15"/>
      <c r="G44" s="15"/>
      <c r="H44" s="15"/>
      <c r="I44" s="10"/>
      <c r="J44" s="12"/>
    </row>
    <row r="45" spans="2:15" x14ac:dyDescent="0.2">
      <c r="B45" s="9"/>
      <c r="C45" s="10"/>
      <c r="D45" s="10"/>
      <c r="E45" s="15"/>
      <c r="F45" s="15"/>
      <c r="G45" s="15"/>
      <c r="H45" s="15"/>
      <c r="I45" s="10"/>
      <c r="J45" s="12"/>
    </row>
    <row r="46" spans="2:15" x14ac:dyDescent="0.2">
      <c r="B46" s="9"/>
      <c r="C46" s="10"/>
      <c r="D46" s="10"/>
      <c r="E46" s="15"/>
      <c r="F46" s="15"/>
      <c r="G46" s="15"/>
      <c r="H46" s="15"/>
      <c r="I46" s="10"/>
      <c r="J46" s="12"/>
    </row>
    <row r="47" spans="2:15" x14ac:dyDescent="0.2">
      <c r="B47" s="9"/>
      <c r="C47" s="10"/>
      <c r="D47" s="10"/>
      <c r="E47" s="15"/>
      <c r="F47" s="15"/>
      <c r="G47" s="15"/>
      <c r="H47" s="15"/>
      <c r="I47" s="10"/>
      <c r="J47" s="12"/>
    </row>
    <row r="48" spans="2:15" x14ac:dyDescent="0.2">
      <c r="B48" s="9"/>
      <c r="C48" s="13"/>
      <c r="D48" s="21" t="s">
        <v>16</v>
      </c>
      <c r="E48" s="15"/>
      <c r="F48" s="15"/>
      <c r="G48" s="15"/>
      <c r="H48" s="15"/>
      <c r="I48" s="10"/>
      <c r="J48" s="12"/>
    </row>
    <row r="49" spans="2:13" x14ac:dyDescent="0.2">
      <c r="B49" s="9"/>
      <c r="C49" s="13"/>
      <c r="D49" s="21"/>
      <c r="E49" s="15"/>
      <c r="F49" s="15"/>
      <c r="G49" s="15"/>
      <c r="H49" s="15"/>
      <c r="I49" s="10"/>
      <c r="J49" s="12"/>
    </row>
    <row r="50" spans="2:13" x14ac:dyDescent="0.2">
      <c r="B50" s="9"/>
      <c r="C50" s="13"/>
      <c r="D50" s="22" t="s">
        <v>17</v>
      </c>
      <c r="E50" s="20" t="s">
        <v>18</v>
      </c>
      <c r="F50" s="10"/>
      <c r="G50" s="23">
        <v>5500000</v>
      </c>
      <c r="H50" s="10"/>
      <c r="I50" s="10"/>
      <c r="J50" s="12"/>
    </row>
    <row r="51" spans="2:13" x14ac:dyDescent="0.2">
      <c r="B51" s="9"/>
      <c r="C51" s="13"/>
      <c r="D51" s="22"/>
      <c r="E51" s="24"/>
      <c r="F51" s="10"/>
      <c r="G51" s="10"/>
      <c r="H51" s="23"/>
      <c r="I51" s="10"/>
      <c r="J51" s="12"/>
    </row>
    <row r="52" spans="2:13" ht="15" x14ac:dyDescent="0.25">
      <c r="B52" s="9"/>
      <c r="C52" s="13"/>
      <c r="D52" s="22" t="s">
        <v>19</v>
      </c>
      <c r="E52" s="25" t="s">
        <v>125</v>
      </c>
      <c r="F52" s="10"/>
      <c r="G52" s="10"/>
      <c r="H52" s="10"/>
      <c r="I52" s="26"/>
      <c r="J52" s="28"/>
      <c r="K52" s="147"/>
    </row>
    <row r="53" spans="2:13" x14ac:dyDescent="0.2">
      <c r="B53" s="9"/>
      <c r="C53" s="13"/>
      <c r="D53" s="22"/>
      <c r="E53" s="10" t="s">
        <v>21</v>
      </c>
      <c r="F53" s="10"/>
      <c r="G53" s="23">
        <v>450000</v>
      </c>
      <c r="H53" s="10"/>
      <c r="I53" s="10"/>
      <c r="J53" s="12"/>
    </row>
    <row r="54" spans="2:13" x14ac:dyDescent="0.2">
      <c r="B54" s="9"/>
      <c r="C54" s="13"/>
      <c r="D54" s="22"/>
      <c r="E54" s="10" t="s">
        <v>22</v>
      </c>
      <c r="F54" s="10"/>
      <c r="G54" s="23">
        <v>300000</v>
      </c>
      <c r="H54" s="10"/>
      <c r="I54" s="10"/>
      <c r="J54" s="12"/>
    </row>
    <row r="55" spans="2:13" x14ac:dyDescent="0.2">
      <c r="B55" s="9"/>
      <c r="C55" s="13"/>
      <c r="D55" s="22"/>
      <c r="E55" s="10" t="s">
        <v>23</v>
      </c>
      <c r="F55" s="10"/>
      <c r="G55" s="23">
        <v>650000</v>
      </c>
      <c r="H55" s="10"/>
      <c r="I55" s="10"/>
      <c r="J55" s="12"/>
    </row>
    <row r="56" spans="2:13" x14ac:dyDescent="0.2">
      <c r="B56" s="9"/>
      <c r="C56" s="13"/>
      <c r="D56" s="22"/>
      <c r="E56" s="10" t="s">
        <v>24</v>
      </c>
      <c r="F56" s="10"/>
      <c r="G56" s="23">
        <v>1875000</v>
      </c>
      <c r="H56" s="10"/>
      <c r="I56" s="10"/>
      <c r="J56" s="12"/>
    </row>
    <row r="57" spans="2:13" x14ac:dyDescent="0.2">
      <c r="B57" s="9"/>
      <c r="C57" s="13"/>
      <c r="D57" s="22"/>
      <c r="E57" s="10" t="s">
        <v>25</v>
      </c>
      <c r="F57" s="10"/>
      <c r="G57" s="23">
        <v>1250000</v>
      </c>
      <c r="H57" s="10"/>
      <c r="I57" s="10"/>
      <c r="J57" s="12"/>
    </row>
    <row r="58" spans="2:13" x14ac:dyDescent="0.2">
      <c r="B58" s="9"/>
      <c r="C58" s="13"/>
      <c r="D58" s="22"/>
      <c r="E58" s="10" t="s">
        <v>26</v>
      </c>
      <c r="F58" s="10"/>
      <c r="G58" s="23">
        <v>150000</v>
      </c>
      <c r="H58" s="10"/>
      <c r="I58" s="10"/>
      <c r="J58" s="12"/>
    </row>
    <row r="59" spans="2:13" x14ac:dyDescent="0.2">
      <c r="B59" s="9"/>
      <c r="C59" s="13"/>
      <c r="D59" s="22"/>
      <c r="E59" s="10"/>
      <c r="F59" s="10"/>
      <c r="G59" s="23"/>
      <c r="H59" s="10"/>
      <c r="I59" s="10"/>
      <c r="J59" s="12"/>
    </row>
    <row r="60" spans="2:13" ht="15" x14ac:dyDescent="0.25">
      <c r="B60" s="9"/>
      <c r="C60" s="13"/>
      <c r="D60" s="22" t="s">
        <v>27</v>
      </c>
      <c r="E60" s="25" t="s">
        <v>126</v>
      </c>
      <c r="F60" s="10"/>
      <c r="G60" s="23"/>
      <c r="H60" s="10"/>
      <c r="I60" s="10"/>
      <c r="J60" s="12"/>
    </row>
    <row r="61" spans="2:13" x14ac:dyDescent="0.2">
      <c r="B61" s="9"/>
      <c r="C61" s="13"/>
      <c r="D61" s="22"/>
      <c r="E61" s="29" t="s">
        <v>29</v>
      </c>
      <c r="F61" s="10"/>
      <c r="G61" s="30">
        <f>+'Desarrollo Ejercicio n°4 A'!F18</f>
        <v>-1129600</v>
      </c>
      <c r="H61" s="10"/>
      <c r="I61" s="10"/>
      <c r="J61" s="12"/>
    </row>
    <row r="62" spans="2:13" x14ac:dyDescent="0.2">
      <c r="B62" s="9"/>
      <c r="C62" s="13"/>
      <c r="D62" s="22"/>
      <c r="E62" s="29" t="s">
        <v>30</v>
      </c>
      <c r="F62" s="10"/>
      <c r="G62" s="30">
        <v>-5100000</v>
      </c>
      <c r="H62" s="10"/>
      <c r="I62" s="10"/>
      <c r="J62" s="12"/>
    </row>
    <row r="63" spans="2:13" x14ac:dyDescent="0.2">
      <c r="B63" s="9"/>
      <c r="C63" s="13"/>
      <c r="D63" s="22"/>
      <c r="E63" s="29" t="s">
        <v>31</v>
      </c>
      <c r="F63" s="10"/>
      <c r="G63" s="30">
        <v>-2000000</v>
      </c>
      <c r="H63" s="10"/>
      <c r="I63" s="10"/>
      <c r="J63" s="12"/>
    </row>
    <row r="64" spans="2:13" x14ac:dyDescent="0.2">
      <c r="B64" s="9"/>
      <c r="C64" s="13"/>
      <c r="D64" s="22"/>
      <c r="E64" s="29"/>
      <c r="F64" s="10"/>
      <c r="G64" s="23"/>
      <c r="H64" s="10"/>
      <c r="I64" s="10"/>
      <c r="J64" s="12"/>
      <c r="M64" s="1"/>
    </row>
    <row r="65" spans="2:15" x14ac:dyDescent="0.2">
      <c r="B65" s="9"/>
      <c r="C65" s="13"/>
      <c r="D65" s="22" t="s">
        <v>127</v>
      </c>
      <c r="E65" s="29" t="s">
        <v>210</v>
      </c>
      <c r="F65" s="10"/>
      <c r="G65" s="23">
        <f>+'Desarrollo Ejercicio n°4 B y C'!D81</f>
        <v>43251000</v>
      </c>
      <c r="H65" s="10"/>
      <c r="I65" s="10"/>
      <c r="J65" s="12"/>
      <c r="M65" s="1"/>
    </row>
    <row r="66" spans="2:15" x14ac:dyDescent="0.2">
      <c r="B66" s="9"/>
      <c r="C66" s="13"/>
      <c r="D66" s="22"/>
      <c r="E66" s="29"/>
      <c r="F66" s="10"/>
      <c r="G66" s="23"/>
      <c r="H66" s="10"/>
      <c r="I66" s="10"/>
      <c r="J66" s="12"/>
      <c r="M66" s="1"/>
    </row>
    <row r="67" spans="2:15" x14ac:dyDescent="0.2">
      <c r="B67" s="9"/>
      <c r="C67" s="13"/>
      <c r="D67" s="22"/>
      <c r="E67" s="25" t="s">
        <v>129</v>
      </c>
      <c r="F67" s="10"/>
      <c r="G67" s="23"/>
      <c r="H67" s="10"/>
      <c r="I67" s="10"/>
      <c r="J67" s="12"/>
      <c r="M67" s="1"/>
    </row>
    <row r="68" spans="2:15" x14ac:dyDescent="0.2">
      <c r="B68" s="9"/>
      <c r="C68" s="13"/>
      <c r="D68" s="22"/>
      <c r="E68" s="25"/>
      <c r="F68" s="10"/>
      <c r="G68" s="23"/>
      <c r="H68" s="35"/>
      <c r="I68" s="10"/>
      <c r="J68" s="12"/>
    </row>
    <row r="69" spans="2:15" x14ac:dyDescent="0.2">
      <c r="B69" s="9"/>
      <c r="C69" s="32" t="s">
        <v>34</v>
      </c>
      <c r="D69" s="33"/>
      <c r="E69" s="32"/>
      <c r="F69" s="34"/>
      <c r="G69" s="35"/>
      <c r="H69" s="35"/>
      <c r="I69" s="10"/>
      <c r="J69" s="12"/>
    </row>
    <row r="70" spans="2:15" x14ac:dyDescent="0.2">
      <c r="B70" s="9"/>
      <c r="C70" s="36" t="s">
        <v>35</v>
      </c>
      <c r="D70" s="32" t="s">
        <v>130</v>
      </c>
      <c r="E70" s="32"/>
      <c r="F70" s="34"/>
      <c r="G70" s="35"/>
      <c r="H70" s="35"/>
      <c r="I70" s="10"/>
      <c r="J70" s="12"/>
    </row>
    <row r="71" spans="2:15" x14ac:dyDescent="0.2">
      <c r="B71" s="9"/>
      <c r="C71" s="37"/>
      <c r="D71" s="33"/>
      <c r="E71" s="32"/>
      <c r="F71" s="34"/>
      <c r="G71" s="35"/>
      <c r="H71" s="35"/>
      <c r="I71" s="10"/>
      <c r="J71" s="12"/>
    </row>
    <row r="72" spans="2:15" s="3" customFormat="1" x14ac:dyDescent="0.2">
      <c r="B72" s="148"/>
      <c r="C72" s="36" t="s">
        <v>37</v>
      </c>
      <c r="D72" s="32" t="s">
        <v>131</v>
      </c>
      <c r="E72" s="32"/>
      <c r="F72" s="34"/>
      <c r="G72" s="35"/>
      <c r="H72" s="10"/>
      <c r="I72" s="10"/>
      <c r="J72" s="12"/>
      <c r="N72" s="1"/>
      <c r="O72" s="1"/>
    </row>
    <row r="73" spans="2:15" s="3" customFormat="1" x14ac:dyDescent="0.2">
      <c r="B73" s="148"/>
      <c r="C73" s="36"/>
      <c r="D73" s="32"/>
      <c r="E73" s="32"/>
      <c r="F73" s="34"/>
      <c r="G73" s="35"/>
      <c r="H73" s="10"/>
      <c r="I73" s="10"/>
      <c r="J73" s="12"/>
      <c r="N73" s="1"/>
      <c r="O73" s="1"/>
    </row>
    <row r="74" spans="2:15" s="3" customFormat="1" ht="12.75" customHeight="1" x14ac:dyDescent="0.2">
      <c r="B74" s="148"/>
      <c r="C74" s="36" t="s">
        <v>39</v>
      </c>
      <c r="D74" s="32" t="s">
        <v>40</v>
      </c>
      <c r="E74" s="32"/>
      <c r="F74" s="34"/>
      <c r="G74" s="35"/>
      <c r="H74" s="10"/>
      <c r="I74" s="10"/>
      <c r="J74" s="12"/>
      <c r="N74" s="1"/>
      <c r="O74" s="1"/>
    </row>
    <row r="75" spans="2:15" s="3" customFormat="1" ht="18.75" thickBot="1" x14ac:dyDescent="0.3">
      <c r="B75" s="149"/>
      <c r="C75" s="39"/>
      <c r="D75" s="43"/>
      <c r="E75" s="43"/>
      <c r="F75" s="43"/>
      <c r="G75" s="43"/>
      <c r="H75" s="245"/>
      <c r="I75" s="42"/>
      <c r="J75" s="246"/>
      <c r="N75" s="1"/>
      <c r="O75" s="1"/>
    </row>
    <row r="76" spans="2:15" s="3" customFormat="1" x14ac:dyDescent="0.2">
      <c r="C76" s="2"/>
      <c r="D76" s="1"/>
      <c r="E76" s="49"/>
      <c r="F76" s="1"/>
      <c r="G76" s="50"/>
      <c r="H76" s="1"/>
      <c r="I76" s="1"/>
      <c r="N76" s="1"/>
      <c r="O76" s="1"/>
    </row>
    <row r="77" spans="2:15" s="3" customFormat="1" x14ac:dyDescent="0.2">
      <c r="C77" s="2"/>
      <c r="D77" s="1"/>
      <c r="E77" s="51"/>
      <c r="F77" s="51"/>
      <c r="G77" s="1"/>
      <c r="H77" s="52"/>
      <c r="I77" s="1"/>
      <c r="N77" s="1"/>
      <c r="O77" s="1"/>
    </row>
    <row r="78" spans="2:15" s="3" customFormat="1" ht="12.75" customHeight="1" x14ac:dyDescent="0.2">
      <c r="C78" s="2"/>
      <c r="D78" s="1"/>
      <c r="E78" s="383"/>
      <c r="F78" s="383"/>
      <c r="G78" s="383"/>
      <c r="H78" s="383"/>
      <c r="I78" s="1"/>
      <c r="N78" s="1"/>
      <c r="O78" s="1"/>
    </row>
    <row r="79" spans="2:15" s="3" customFormat="1" x14ac:dyDescent="0.2">
      <c r="C79" s="2"/>
      <c r="D79" s="1"/>
      <c r="E79" s="53"/>
      <c r="F79" s="53"/>
      <c r="G79" s="53"/>
      <c r="H79" s="53"/>
      <c r="I79" s="1"/>
      <c r="N79" s="1"/>
      <c r="O79" s="1"/>
    </row>
    <row r="80" spans="2:15" s="3" customFormat="1" ht="12.75" customHeight="1" x14ac:dyDescent="0.2">
      <c r="C80" s="2"/>
      <c r="D80" s="1"/>
      <c r="E80" s="383"/>
      <c r="F80" s="383"/>
      <c r="G80" s="383"/>
      <c r="H80" s="383"/>
      <c r="I80" s="1"/>
      <c r="N80" s="1"/>
      <c r="O80" s="1"/>
    </row>
    <row r="81" spans="3:15" s="3" customFormat="1" x14ac:dyDescent="0.2">
      <c r="C81" s="2"/>
      <c r="D81" s="1"/>
      <c r="E81" s="377"/>
      <c r="F81" s="377"/>
      <c r="G81" s="377"/>
      <c r="H81" s="377"/>
      <c r="I81" s="1"/>
      <c r="N81" s="1"/>
      <c r="O81" s="1"/>
    </row>
    <row r="82" spans="3:15" s="3" customFormat="1" x14ac:dyDescent="0.2">
      <c r="C82" s="2"/>
      <c r="D82" s="1"/>
      <c r="E82" s="383"/>
      <c r="F82" s="383"/>
      <c r="G82" s="383"/>
      <c r="H82" s="383"/>
      <c r="I82" s="1"/>
      <c r="N82" s="1"/>
      <c r="O82" s="1"/>
    </row>
    <row r="83" spans="3:15" s="3" customFormat="1" x14ac:dyDescent="0.2">
      <c r="C83" s="2"/>
      <c r="D83" s="1"/>
      <c r="E83" s="377"/>
      <c r="F83" s="377"/>
      <c r="G83" s="377"/>
      <c r="H83" s="377"/>
      <c r="I83" s="1"/>
      <c r="N83" s="1"/>
      <c r="O83" s="1"/>
    </row>
  </sheetData>
  <mergeCells count="12">
    <mergeCell ref="E83:H83"/>
    <mergeCell ref="D6:I6"/>
    <mergeCell ref="C8:I10"/>
    <mergeCell ref="D12:I13"/>
    <mergeCell ref="C27:I27"/>
    <mergeCell ref="D31:I33"/>
    <mergeCell ref="D35:I36"/>
    <mergeCell ref="D38:I40"/>
    <mergeCell ref="E78:H78"/>
    <mergeCell ref="E80:H80"/>
    <mergeCell ref="E81:H81"/>
    <mergeCell ref="E82:H82"/>
  </mergeCells>
  <printOptions horizontalCentered="1"/>
  <pageMargins left="0.59055118110236227" right="0.59055118110236227" top="0.59055118110236227" bottom="0.59055118110236227" header="0" footer="0"/>
  <pageSetup scale="6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U54"/>
  <sheetViews>
    <sheetView showGridLines="0" topLeftCell="D2" zoomScale="142" zoomScaleNormal="142" workbookViewId="0">
      <selection activeCell="D2" sqref="D2:D4"/>
    </sheetView>
  </sheetViews>
  <sheetFormatPr baseColWidth="10" defaultColWidth="8.85546875" defaultRowHeight="15" x14ac:dyDescent="0.25"/>
  <cols>
    <col min="1" max="2" width="8.85546875" style="350"/>
    <col min="3" max="3" width="2.85546875" style="350" bestFit="1" customWidth="1"/>
    <col min="4" max="4" width="47" style="350" bestFit="1" customWidth="1"/>
    <col min="5" max="5" width="8.140625" style="350" bestFit="1" customWidth="1"/>
    <col min="6" max="7" width="11.28515625" style="350" bestFit="1" customWidth="1"/>
    <col min="8" max="9" width="8.85546875" style="350"/>
    <col min="10" max="10" width="40.5703125" style="350" customWidth="1"/>
    <col min="11" max="14" width="12.28515625" style="350" bestFit="1" customWidth="1"/>
    <col min="15" max="15" width="13.7109375" style="350" customWidth="1"/>
    <col min="16" max="16" width="16.5703125" style="350" bestFit="1" customWidth="1"/>
    <col min="17" max="17" width="17" style="350" customWidth="1"/>
    <col min="18" max="18" width="12.85546875" style="350" customWidth="1"/>
    <col min="19" max="19" width="13" style="350" customWidth="1"/>
    <col min="20" max="20" width="8.85546875" style="350"/>
    <col min="21" max="21" width="10.85546875" style="350" bestFit="1" customWidth="1"/>
    <col min="22" max="16384" width="8.85546875" style="350"/>
  </cols>
  <sheetData>
    <row r="1" spans="2:16" ht="15.75" thickBot="1" x14ac:dyDescent="0.3">
      <c r="D1" s="79"/>
    </row>
    <row r="2" spans="2:16" x14ac:dyDescent="0.25">
      <c r="B2" s="351"/>
      <c r="C2" s="352"/>
      <c r="D2" s="5" t="s">
        <v>229</v>
      </c>
      <c r="E2" s="352"/>
      <c r="F2" s="352"/>
      <c r="G2" s="352"/>
      <c r="H2" s="353"/>
    </row>
    <row r="3" spans="2:16" x14ac:dyDescent="0.25">
      <c r="B3" s="354"/>
      <c r="C3" s="355"/>
      <c r="D3" s="10" t="s">
        <v>231</v>
      </c>
      <c r="E3" s="355"/>
      <c r="F3" s="355"/>
      <c r="G3" s="355"/>
      <c r="H3" s="356"/>
    </row>
    <row r="4" spans="2:16" x14ac:dyDescent="0.25">
      <c r="B4" s="354"/>
      <c r="C4" s="355"/>
      <c r="D4" s="10" t="s">
        <v>230</v>
      </c>
      <c r="E4" s="355"/>
      <c r="F4" s="355"/>
      <c r="G4" s="355"/>
      <c r="H4" s="356"/>
    </row>
    <row r="5" spans="2:16" x14ac:dyDescent="0.25">
      <c r="B5" s="354"/>
      <c r="C5" s="355"/>
      <c r="D5" s="357"/>
      <c r="E5" s="355"/>
      <c r="F5" s="355"/>
      <c r="G5" s="355"/>
      <c r="H5" s="356"/>
    </row>
    <row r="6" spans="2:16" x14ac:dyDescent="0.25">
      <c r="B6" s="354"/>
      <c r="C6" s="355"/>
      <c r="D6" s="180" t="s">
        <v>226</v>
      </c>
      <c r="E6" s="355"/>
      <c r="F6" s="355"/>
      <c r="G6" s="355"/>
      <c r="H6" s="356"/>
    </row>
    <row r="7" spans="2:16" ht="36.75" customHeight="1" x14ac:dyDescent="0.25">
      <c r="B7" s="354"/>
      <c r="C7" s="22" t="s">
        <v>42</v>
      </c>
      <c r="D7" s="357" t="s">
        <v>43</v>
      </c>
      <c r="E7" s="355"/>
      <c r="F7" s="355"/>
      <c r="G7" s="355"/>
      <c r="H7" s="356"/>
    </row>
    <row r="8" spans="2:16" x14ac:dyDescent="0.25">
      <c r="B8" s="354"/>
      <c r="C8" s="355"/>
      <c r="D8" s="20" t="s">
        <v>18</v>
      </c>
      <c r="E8" s="24"/>
      <c r="F8" s="24"/>
      <c r="G8" s="63">
        <v>5500000</v>
      </c>
      <c r="H8" s="64"/>
      <c r="I8" s="185"/>
    </row>
    <row r="9" spans="2:16" x14ac:dyDescent="0.25">
      <c r="B9" s="354"/>
      <c r="C9" s="355"/>
      <c r="D9" s="25" t="s">
        <v>227</v>
      </c>
      <c r="E9" s="24"/>
      <c r="F9" s="24"/>
      <c r="G9" s="63"/>
      <c r="H9" s="64"/>
      <c r="I9" s="185"/>
    </row>
    <row r="10" spans="2:16" x14ac:dyDescent="0.25">
      <c r="B10" s="354"/>
      <c r="C10" s="355"/>
      <c r="D10" s="24" t="s">
        <v>21</v>
      </c>
      <c r="E10" s="24"/>
      <c r="F10" s="63">
        <f>15000000*3%</f>
        <v>450000</v>
      </c>
      <c r="G10" s="63"/>
      <c r="H10" s="64"/>
      <c r="I10" s="185"/>
    </row>
    <row r="11" spans="2:16" x14ac:dyDescent="0.25">
      <c r="B11" s="354"/>
      <c r="C11" s="355"/>
      <c r="D11" s="24" t="s">
        <v>22</v>
      </c>
      <c r="E11" s="24"/>
      <c r="F11" s="63">
        <v>300000</v>
      </c>
      <c r="G11" s="63"/>
      <c r="H11" s="64"/>
      <c r="I11" s="185"/>
    </row>
    <row r="12" spans="2:16" x14ac:dyDescent="0.25">
      <c r="B12" s="354"/>
      <c r="C12" s="22"/>
      <c r="D12" s="24" t="s">
        <v>23</v>
      </c>
      <c r="E12" s="24"/>
      <c r="F12" s="63">
        <v>650000</v>
      </c>
      <c r="G12" s="24"/>
      <c r="H12" s="65"/>
      <c r="I12" s="358"/>
      <c r="J12" s="288"/>
      <c r="K12" s="288"/>
      <c r="L12" s="288"/>
      <c r="M12" s="288"/>
      <c r="N12" s="288"/>
      <c r="O12" s="288"/>
      <c r="P12" s="288"/>
    </row>
    <row r="13" spans="2:16" x14ac:dyDescent="0.25">
      <c r="B13" s="354"/>
      <c r="C13" s="22"/>
      <c r="D13" s="24" t="s">
        <v>24</v>
      </c>
      <c r="E13" s="24"/>
      <c r="F13" s="63">
        <v>1875000</v>
      </c>
      <c r="G13" s="24"/>
      <c r="H13" s="65"/>
      <c r="I13" s="358"/>
      <c r="J13" s="288"/>
      <c r="K13" s="288"/>
      <c r="L13" s="288"/>
      <c r="M13" s="288"/>
      <c r="N13" s="288"/>
      <c r="O13" s="288"/>
      <c r="P13" s="288"/>
    </row>
    <row r="14" spans="2:16" x14ac:dyDescent="0.25">
      <c r="B14" s="354"/>
      <c r="C14" s="22"/>
      <c r="D14" s="24" t="s">
        <v>25</v>
      </c>
      <c r="E14" s="24"/>
      <c r="F14" s="63">
        <v>1250000</v>
      </c>
      <c r="G14" s="24"/>
      <c r="H14" s="65"/>
      <c r="I14" s="358"/>
      <c r="J14" s="288"/>
      <c r="K14" s="288"/>
      <c r="L14" s="288"/>
      <c r="M14" s="288"/>
      <c r="N14" s="288"/>
      <c r="O14" s="288"/>
      <c r="P14" s="288"/>
    </row>
    <row r="15" spans="2:16" x14ac:dyDescent="0.25">
      <c r="B15" s="354"/>
      <c r="C15" s="22"/>
      <c r="D15" s="24" t="s">
        <v>26</v>
      </c>
      <c r="E15" s="24"/>
      <c r="F15" s="63">
        <v>150000</v>
      </c>
      <c r="G15" s="63">
        <f>SUM(F10:F15)</f>
        <v>4675000</v>
      </c>
      <c r="H15" s="65"/>
      <c r="I15" s="358"/>
      <c r="J15" s="300"/>
      <c r="K15" s="300"/>
      <c r="L15" s="300"/>
      <c r="M15" s="300"/>
      <c r="N15" s="288"/>
      <c r="O15" s="288"/>
      <c r="P15" s="288"/>
    </row>
    <row r="16" spans="2:16" x14ac:dyDescent="0.25">
      <c r="B16" s="354"/>
      <c r="C16" s="22"/>
      <c r="D16" s="24"/>
      <c r="E16" s="24"/>
      <c r="F16" s="63"/>
      <c r="G16" s="24"/>
      <c r="H16" s="65"/>
      <c r="I16" s="358"/>
      <c r="J16" s="301"/>
      <c r="K16" s="302"/>
      <c r="L16" s="302"/>
      <c r="M16" s="300"/>
      <c r="N16" s="288"/>
      <c r="O16" s="288"/>
      <c r="P16" s="288"/>
    </row>
    <row r="17" spans="2:21" x14ac:dyDescent="0.25">
      <c r="B17" s="354"/>
      <c r="C17" s="22"/>
      <c r="D17" s="25" t="s">
        <v>228</v>
      </c>
      <c r="E17" s="24"/>
      <c r="F17" s="63"/>
      <c r="G17" s="24"/>
      <c r="H17" s="65"/>
      <c r="I17" s="358"/>
      <c r="J17" s="303" t="s">
        <v>94</v>
      </c>
      <c r="K17" s="303" t="s">
        <v>91</v>
      </c>
      <c r="L17" s="303" t="s">
        <v>95</v>
      </c>
      <c r="M17" s="300"/>
      <c r="N17" s="288"/>
      <c r="O17" s="288"/>
      <c r="P17" s="288"/>
      <c r="U17" s="359"/>
    </row>
    <row r="18" spans="2:21" x14ac:dyDescent="0.25">
      <c r="B18" s="354"/>
      <c r="C18" s="22"/>
      <c r="D18" s="31" t="s">
        <v>29</v>
      </c>
      <c r="E18" s="24"/>
      <c r="F18" s="66">
        <f>-L21</f>
        <v>-1129600</v>
      </c>
      <c r="G18" s="24"/>
      <c r="H18" s="64"/>
      <c r="I18" s="185"/>
      <c r="J18" s="304">
        <v>40000000</v>
      </c>
      <c r="K18" s="305">
        <v>2.9000000000000001E-2</v>
      </c>
      <c r="L18" s="304">
        <f>+J18*K18</f>
        <v>1160000</v>
      </c>
      <c r="M18" s="300"/>
      <c r="N18" s="288"/>
      <c r="O18" s="288"/>
      <c r="P18" s="288"/>
    </row>
    <row r="19" spans="2:21" x14ac:dyDescent="0.25">
      <c r="B19" s="354"/>
      <c r="C19" s="22"/>
      <c r="D19" s="31" t="s">
        <v>30</v>
      </c>
      <c r="E19" s="24"/>
      <c r="F19" s="66">
        <f>+'Planteamiento Ejercicio n°4'!G62</f>
        <v>-5100000</v>
      </c>
      <c r="G19" s="24"/>
      <c r="H19" s="64"/>
      <c r="I19" s="185"/>
      <c r="J19" s="304">
        <v>-2400000</v>
      </c>
      <c r="K19" s="305">
        <v>8.0000000000000002E-3</v>
      </c>
      <c r="L19" s="304">
        <f t="shared" ref="L19:L20" si="0">+J19*K19</f>
        <v>-19200</v>
      </c>
      <c r="M19" s="300"/>
      <c r="N19" s="288"/>
      <c r="O19" s="288"/>
      <c r="P19" s="288"/>
    </row>
    <row r="20" spans="2:21" x14ac:dyDescent="0.25">
      <c r="B20" s="354"/>
      <c r="C20" s="22"/>
      <c r="D20" s="31" t="s">
        <v>44</v>
      </c>
      <c r="E20" s="24"/>
      <c r="F20" s="66">
        <v>-2000000</v>
      </c>
      <c r="G20" s="24"/>
      <c r="H20" s="64"/>
      <c r="I20" s="185"/>
      <c r="J20" s="304">
        <v>-5600000</v>
      </c>
      <c r="K20" s="305">
        <v>2E-3</v>
      </c>
      <c r="L20" s="304">
        <f t="shared" si="0"/>
        <v>-11200</v>
      </c>
      <c r="M20" s="300"/>
      <c r="N20" s="288"/>
      <c r="O20" s="288"/>
      <c r="P20" s="288"/>
    </row>
    <row r="21" spans="2:21" x14ac:dyDescent="0.25">
      <c r="B21" s="354"/>
      <c r="C21" s="22"/>
      <c r="D21" s="31" t="str">
        <f>+D14</f>
        <v>Gastos por arriendo de Automóviles (Actualizados)</v>
      </c>
      <c r="E21" s="24"/>
      <c r="F21" s="66">
        <f>-F14</f>
        <v>-1250000</v>
      </c>
      <c r="G21" s="66">
        <f>SUM(F18:F21)</f>
        <v>-9479600</v>
      </c>
      <c r="H21" s="64"/>
      <c r="I21" s="185"/>
      <c r="J21" s="304"/>
      <c r="K21" s="306"/>
      <c r="L21" s="307">
        <f>SUM(L18:L20)</f>
        <v>1129600</v>
      </c>
      <c r="M21" s="300"/>
      <c r="N21" s="288"/>
      <c r="O21" s="288"/>
      <c r="P21" s="288"/>
    </row>
    <row r="22" spans="2:21" x14ac:dyDescent="0.25">
      <c r="B22" s="354"/>
      <c r="C22" s="22"/>
      <c r="D22" s="31"/>
      <c r="E22" s="24"/>
      <c r="F22" s="63"/>
      <c r="G22" s="24"/>
      <c r="H22" s="64"/>
      <c r="I22" s="185"/>
      <c r="J22" s="301"/>
      <c r="K22" s="302"/>
      <c r="L22" s="302"/>
      <c r="M22" s="300"/>
      <c r="N22" s="288"/>
      <c r="O22" s="288"/>
      <c r="P22" s="288"/>
    </row>
    <row r="23" spans="2:21" x14ac:dyDescent="0.25">
      <c r="B23" s="354"/>
      <c r="C23" s="22"/>
      <c r="D23" s="67" t="s">
        <v>132</v>
      </c>
      <c r="E23" s="68"/>
      <c r="F23" s="69"/>
      <c r="G23" s="69">
        <f>SUM(G8:G21)</f>
        <v>695400</v>
      </c>
      <c r="H23" s="64"/>
      <c r="I23" s="185"/>
      <c r="J23" s="288"/>
      <c r="K23" s="288"/>
      <c r="L23" s="288"/>
      <c r="M23" s="288"/>
      <c r="N23" s="288"/>
      <c r="O23" s="288"/>
      <c r="P23" s="288"/>
    </row>
    <row r="24" spans="2:21" x14ac:dyDescent="0.25">
      <c r="B24" s="354"/>
      <c r="C24" s="22"/>
      <c r="D24" s="25"/>
      <c r="E24" s="20"/>
      <c r="F24" s="35"/>
      <c r="G24" s="35"/>
      <c r="H24" s="64"/>
      <c r="I24" s="185"/>
      <c r="J24" s="288"/>
      <c r="K24" s="288"/>
      <c r="L24" s="288"/>
      <c r="M24" s="288"/>
      <c r="N24" s="288"/>
      <c r="O24" s="288"/>
      <c r="P24" s="288"/>
    </row>
    <row r="25" spans="2:21" x14ac:dyDescent="0.25">
      <c r="B25" s="354"/>
      <c r="C25" s="22"/>
      <c r="D25" s="25" t="s">
        <v>49</v>
      </c>
      <c r="E25" s="70">
        <v>0.255</v>
      </c>
      <c r="F25" s="35"/>
      <c r="G25" s="35">
        <f>ROUND(G23*E25,0)</f>
        <v>177327</v>
      </c>
      <c r="H25" s="64"/>
      <c r="I25" s="185"/>
      <c r="J25" s="288"/>
      <c r="K25" s="288"/>
      <c r="L25" s="288"/>
      <c r="M25" s="288"/>
      <c r="N25" s="288"/>
      <c r="O25" s="288"/>
      <c r="P25" s="288"/>
    </row>
    <row r="26" spans="2:21" x14ac:dyDescent="0.25">
      <c r="B26" s="354"/>
      <c r="C26" s="22"/>
      <c r="D26" s="25" t="s">
        <v>53</v>
      </c>
      <c r="E26" s="71">
        <v>0.4</v>
      </c>
      <c r="F26" s="35"/>
      <c r="G26" s="35">
        <f>-ROUND(F21*E26,0)</f>
        <v>500000</v>
      </c>
      <c r="H26" s="64"/>
      <c r="I26" s="185"/>
      <c r="J26" s="288"/>
      <c r="K26" s="288"/>
      <c r="L26" s="288"/>
      <c r="M26" s="288"/>
      <c r="N26" s="288"/>
      <c r="O26" s="288"/>
      <c r="P26" s="288"/>
    </row>
    <row r="27" spans="2:21" x14ac:dyDescent="0.25">
      <c r="B27" s="354"/>
      <c r="C27" s="22"/>
      <c r="D27" s="25"/>
      <c r="E27" s="20"/>
      <c r="F27" s="35"/>
      <c r="G27" s="35"/>
      <c r="H27" s="64"/>
      <c r="I27" s="185"/>
      <c r="J27" s="288"/>
      <c r="K27" s="288"/>
      <c r="L27" s="288"/>
      <c r="M27" s="288"/>
      <c r="N27" s="288"/>
      <c r="O27" s="288"/>
      <c r="P27" s="288"/>
    </row>
    <row r="28" spans="2:21" ht="15.75" thickBot="1" x14ac:dyDescent="0.3">
      <c r="B28" s="354"/>
      <c r="C28" s="22"/>
      <c r="D28" s="73" t="s">
        <v>205</v>
      </c>
      <c r="E28" s="74"/>
      <c r="F28" s="75"/>
      <c r="G28" s="75">
        <f>SUM(G25:G26)</f>
        <v>677327</v>
      </c>
      <c r="H28" s="64"/>
      <c r="I28" s="185"/>
      <c r="J28" s="288"/>
      <c r="K28" s="288"/>
      <c r="L28" s="288"/>
      <c r="M28" s="288"/>
      <c r="N28" s="288"/>
      <c r="O28" s="288">
        <f>+K28-K37</f>
        <v>0</v>
      </c>
      <c r="P28" s="288"/>
    </row>
    <row r="29" spans="2:21" ht="15.75" thickBot="1" x14ac:dyDescent="0.3">
      <c r="B29" s="360"/>
      <c r="C29" s="40"/>
      <c r="D29" s="361"/>
      <c r="E29" s="361"/>
      <c r="F29" s="361"/>
      <c r="G29" s="361"/>
      <c r="H29" s="76"/>
      <c r="I29" s="185"/>
      <c r="J29" s="288"/>
      <c r="K29" s="288"/>
      <c r="L29" s="288"/>
      <c r="M29" s="288"/>
      <c r="N29" s="288"/>
      <c r="O29" s="289" t="e">
        <f>+O28/K13</f>
        <v>#DIV/0!</v>
      </c>
      <c r="P29" s="288"/>
    </row>
    <row r="30" spans="2:21" x14ac:dyDescent="0.25">
      <c r="C30" s="78"/>
      <c r="H30" s="79"/>
      <c r="I30" s="185"/>
      <c r="J30" s="288"/>
      <c r="K30" s="288"/>
      <c r="L30" s="288"/>
      <c r="M30" s="288"/>
      <c r="N30" s="288"/>
      <c r="O30" s="288" t="s">
        <v>179</v>
      </c>
      <c r="P30" s="288"/>
    </row>
    <row r="31" spans="2:21" x14ac:dyDescent="0.25">
      <c r="C31" s="78"/>
      <c r="H31" s="79"/>
      <c r="I31" s="185"/>
      <c r="J31" s="288"/>
      <c r="K31" s="288"/>
      <c r="L31" s="288"/>
      <c r="M31" s="288"/>
      <c r="N31" s="288"/>
      <c r="O31" s="288"/>
      <c r="P31" s="288"/>
    </row>
    <row r="32" spans="2:21" x14ac:dyDescent="0.25">
      <c r="C32" s="78"/>
      <c r="H32" s="79"/>
      <c r="I32" s="185"/>
      <c r="J32" s="288"/>
      <c r="K32" s="288"/>
      <c r="L32" s="288"/>
      <c r="M32" s="288"/>
      <c r="N32" s="288"/>
      <c r="O32" s="288"/>
      <c r="P32" s="288"/>
    </row>
    <row r="33" spans="3:9" x14ac:dyDescent="0.25">
      <c r="C33" s="78"/>
      <c r="H33" s="79"/>
      <c r="I33" s="185"/>
    </row>
    <row r="34" spans="3:9" x14ac:dyDescent="0.25">
      <c r="C34" s="78"/>
      <c r="G34" s="79"/>
      <c r="H34" s="79"/>
      <c r="I34" s="185"/>
    </row>
    <row r="35" spans="3:9" x14ac:dyDescent="0.25">
      <c r="C35" s="78"/>
      <c r="G35" s="79"/>
      <c r="H35" s="79"/>
      <c r="I35" s="185"/>
    </row>
    <row r="36" spans="3:9" x14ac:dyDescent="0.25">
      <c r="C36" s="78"/>
      <c r="D36" s="208"/>
      <c r="E36" s="79"/>
      <c r="F36" s="362"/>
      <c r="G36" s="79"/>
      <c r="H36" s="79"/>
      <c r="I36" s="185"/>
    </row>
    <row r="37" spans="3:9" x14ac:dyDescent="0.25">
      <c r="C37" s="78"/>
      <c r="D37" s="79"/>
      <c r="E37" s="79"/>
      <c r="F37" s="362"/>
      <c r="H37" s="79"/>
      <c r="I37" s="185"/>
    </row>
    <row r="38" spans="3:9" x14ac:dyDescent="0.25">
      <c r="C38" s="78"/>
      <c r="D38" s="79"/>
      <c r="E38" s="79"/>
      <c r="F38" s="362"/>
      <c r="G38" s="79"/>
      <c r="H38" s="79"/>
      <c r="I38" s="185"/>
    </row>
    <row r="39" spans="3:9" x14ac:dyDescent="0.25">
      <c r="C39" s="78"/>
      <c r="H39" s="79"/>
      <c r="I39" s="185"/>
    </row>
    <row r="40" spans="3:9" x14ac:dyDescent="0.25">
      <c r="C40" s="78"/>
      <c r="H40" s="79"/>
      <c r="I40" s="185"/>
    </row>
    <row r="41" spans="3:9" x14ac:dyDescent="0.25">
      <c r="C41" s="78"/>
      <c r="H41" s="79"/>
      <c r="I41" s="185"/>
    </row>
    <row r="42" spans="3:9" x14ac:dyDescent="0.25">
      <c r="C42" s="78"/>
      <c r="H42" s="79"/>
      <c r="I42" s="185"/>
    </row>
    <row r="43" spans="3:9" x14ac:dyDescent="0.25">
      <c r="C43" s="78"/>
      <c r="H43" s="79"/>
      <c r="I43" s="185"/>
    </row>
    <row r="44" spans="3:9" x14ac:dyDescent="0.25">
      <c r="C44" s="78"/>
      <c r="H44" s="79"/>
      <c r="I44" s="185"/>
    </row>
    <row r="45" spans="3:9" x14ac:dyDescent="0.25">
      <c r="C45" s="78"/>
      <c r="H45" s="79"/>
      <c r="I45" s="185"/>
    </row>
    <row r="46" spans="3:9" x14ac:dyDescent="0.25">
      <c r="C46" s="78"/>
      <c r="H46" s="79"/>
      <c r="I46" s="185"/>
    </row>
    <row r="47" spans="3:9" x14ac:dyDescent="0.25">
      <c r="C47" s="78"/>
      <c r="H47" s="79"/>
      <c r="I47" s="185"/>
    </row>
    <row r="48" spans="3:9" x14ac:dyDescent="0.25">
      <c r="C48" s="78"/>
      <c r="H48" s="79"/>
      <c r="I48" s="185"/>
    </row>
    <row r="49" spans="3:9" x14ac:dyDescent="0.25">
      <c r="C49" s="78"/>
      <c r="H49" s="79"/>
      <c r="I49" s="185"/>
    </row>
    <row r="50" spans="3:9" x14ac:dyDescent="0.25">
      <c r="C50" s="78"/>
      <c r="H50" s="79"/>
      <c r="I50" s="185"/>
    </row>
    <row r="51" spans="3:9" x14ac:dyDescent="0.25">
      <c r="C51" s="78"/>
      <c r="H51" s="79"/>
      <c r="I51" s="185"/>
    </row>
    <row r="52" spans="3:9" x14ac:dyDescent="0.25">
      <c r="C52" s="78"/>
      <c r="H52" s="79"/>
      <c r="I52" s="185"/>
    </row>
    <row r="53" spans="3:9" x14ac:dyDescent="0.25">
      <c r="C53" s="78"/>
      <c r="H53" s="79"/>
      <c r="I53" s="185"/>
    </row>
    <row r="54" spans="3:9" x14ac:dyDescent="0.25">
      <c r="C54" s="78"/>
      <c r="H54" s="79"/>
      <c r="I54" s="185"/>
    </row>
  </sheetData>
  <pageMargins left="0.7" right="0.7" top="0.75" bottom="0.75" header="0.3" footer="0.3"/>
  <pageSetup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Q90"/>
  <sheetViews>
    <sheetView showGridLines="0" topLeftCell="A4" zoomScale="80" zoomScaleNormal="80" workbookViewId="0">
      <selection activeCell="C2" sqref="C2:C4"/>
    </sheetView>
  </sheetViews>
  <sheetFormatPr baseColWidth="10" defaultColWidth="9.140625" defaultRowHeight="12.75" x14ac:dyDescent="0.2"/>
  <cols>
    <col min="1" max="2" width="9.140625" style="172"/>
    <col min="3" max="3" width="51.42578125" style="172" customWidth="1"/>
    <col min="4" max="4" width="16.5703125" style="172" customWidth="1"/>
    <col min="5" max="5" width="16.42578125" style="172" bestFit="1" customWidth="1"/>
    <col min="6" max="6" width="14.85546875" style="172" customWidth="1"/>
    <col min="7" max="7" width="18" style="172" customWidth="1"/>
    <col min="8" max="8" width="19.7109375" style="172" customWidth="1"/>
    <col min="9" max="9" width="17" style="172" customWidth="1"/>
    <col min="10" max="10" width="11.5703125" style="172" customWidth="1"/>
    <col min="11" max="11" width="12.5703125" style="172" customWidth="1"/>
    <col min="12" max="12" width="11.28515625" style="172" bestFit="1" customWidth="1"/>
    <col min="13" max="13" width="10.85546875" style="172" bestFit="1" customWidth="1"/>
    <col min="14" max="14" width="9.140625" style="172"/>
    <col min="15" max="15" width="13.7109375" style="172" bestFit="1" customWidth="1"/>
    <col min="16" max="16" width="10.85546875" style="172" bestFit="1" customWidth="1"/>
    <col min="17" max="17" width="9.85546875" style="172" bestFit="1" customWidth="1"/>
    <col min="18" max="16384" width="9.140625" style="172"/>
  </cols>
  <sheetData>
    <row r="1" spans="2:16" ht="13.5" thickBot="1" x14ac:dyDescent="0.25"/>
    <row r="2" spans="2:16" x14ac:dyDescent="0.2">
      <c r="B2" s="173"/>
      <c r="C2" s="5" t="s">
        <v>229</v>
      </c>
      <c r="D2" s="174"/>
      <c r="E2" s="174"/>
      <c r="F2" s="174"/>
      <c r="G2" s="174"/>
      <c r="H2" s="174"/>
      <c r="I2" s="174"/>
      <c r="J2" s="174"/>
      <c r="K2" s="174"/>
      <c r="L2" s="174"/>
      <c r="M2" s="176"/>
    </row>
    <row r="3" spans="2:16" x14ac:dyDescent="0.2">
      <c r="B3" s="177"/>
      <c r="C3" s="10" t="s">
        <v>231</v>
      </c>
      <c r="D3" s="178"/>
      <c r="E3" s="178"/>
      <c r="F3" s="178"/>
      <c r="G3" s="178"/>
      <c r="H3" s="178"/>
      <c r="I3" s="178"/>
      <c r="J3" s="178"/>
      <c r="K3" s="178"/>
      <c r="L3" s="178"/>
      <c r="M3" s="179"/>
    </row>
    <row r="4" spans="2:16" x14ac:dyDescent="0.2">
      <c r="B4" s="177"/>
      <c r="C4" s="10" t="s">
        <v>230</v>
      </c>
      <c r="D4" s="178"/>
      <c r="E4" s="178"/>
      <c r="F4" s="178"/>
      <c r="G4" s="178"/>
      <c r="H4" s="178"/>
      <c r="I4" s="178"/>
      <c r="J4" s="178"/>
      <c r="K4" s="178"/>
      <c r="L4" s="178"/>
      <c r="M4" s="179"/>
    </row>
    <row r="5" spans="2:16" x14ac:dyDescent="0.2">
      <c r="B5" s="177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9"/>
    </row>
    <row r="6" spans="2:16" x14ac:dyDescent="0.2">
      <c r="B6" s="177"/>
      <c r="C6" s="180" t="s">
        <v>226</v>
      </c>
      <c r="D6" s="178"/>
      <c r="E6" s="178"/>
      <c r="F6" s="178"/>
      <c r="G6" s="178"/>
      <c r="H6" s="178"/>
      <c r="I6" s="178"/>
      <c r="J6" s="178"/>
      <c r="K6" s="178"/>
      <c r="L6" s="178"/>
      <c r="M6" s="179"/>
    </row>
    <row r="7" spans="2:16" x14ac:dyDescent="0.2">
      <c r="B7" s="177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9"/>
    </row>
    <row r="8" spans="2:16" x14ac:dyDescent="0.2">
      <c r="B8" s="177"/>
      <c r="C8" s="180" t="s">
        <v>180</v>
      </c>
      <c r="D8" s="178"/>
      <c r="E8" s="178"/>
      <c r="F8" s="178"/>
      <c r="G8" s="178"/>
      <c r="H8" s="178"/>
      <c r="I8" s="178"/>
      <c r="J8" s="178"/>
      <c r="K8" s="178"/>
      <c r="L8" s="178"/>
      <c r="M8" s="179"/>
    </row>
    <row r="9" spans="2:16" x14ac:dyDescent="0.2">
      <c r="B9" s="177"/>
      <c r="C9" s="386" t="s">
        <v>56</v>
      </c>
      <c r="D9" s="80"/>
      <c r="E9" s="392" t="s">
        <v>57</v>
      </c>
      <c r="F9" s="392" t="s">
        <v>134</v>
      </c>
      <c r="G9" s="392" t="s">
        <v>59</v>
      </c>
      <c r="H9" s="392" t="s">
        <v>60</v>
      </c>
      <c r="I9" s="416" t="s">
        <v>181</v>
      </c>
      <c r="J9" s="416"/>
      <c r="K9" s="406" t="s">
        <v>182</v>
      </c>
      <c r="L9" s="413" t="s">
        <v>62</v>
      </c>
      <c r="M9" s="179"/>
    </row>
    <row r="10" spans="2:16" x14ac:dyDescent="0.2">
      <c r="B10" s="177"/>
      <c r="C10" s="387"/>
      <c r="D10" s="82"/>
      <c r="E10" s="393"/>
      <c r="F10" s="393"/>
      <c r="G10" s="393"/>
      <c r="H10" s="393"/>
      <c r="I10" s="404" t="s">
        <v>136</v>
      </c>
      <c r="J10" s="405"/>
      <c r="K10" s="407"/>
      <c r="L10" s="414"/>
      <c r="M10" s="179"/>
    </row>
    <row r="11" spans="2:16" ht="38.25" customHeight="1" x14ac:dyDescent="0.2">
      <c r="B11" s="177"/>
      <c r="C11" s="334"/>
      <c r="D11" s="82"/>
      <c r="E11" s="393"/>
      <c r="F11" s="393"/>
      <c r="G11" s="393"/>
      <c r="H11" s="393"/>
      <c r="I11" s="83" t="s">
        <v>183</v>
      </c>
      <c r="J11" s="406" t="s">
        <v>184</v>
      </c>
      <c r="K11" s="407"/>
      <c r="L11" s="414"/>
      <c r="M11" s="179"/>
      <c r="O11" s="162"/>
      <c r="P11" s="162"/>
    </row>
    <row r="12" spans="2:16" x14ac:dyDescent="0.2">
      <c r="B12" s="177"/>
      <c r="C12" s="334"/>
      <c r="D12" s="82"/>
      <c r="E12" s="393"/>
      <c r="F12" s="393"/>
      <c r="G12" s="393"/>
      <c r="H12" s="393"/>
      <c r="I12" s="209">
        <v>0.255</v>
      </c>
      <c r="J12" s="407"/>
      <c r="K12" s="408"/>
      <c r="L12" s="414"/>
      <c r="M12" s="179"/>
      <c r="O12" s="162"/>
      <c r="P12" s="162">
        <v>2400000</v>
      </c>
    </row>
    <row r="13" spans="2:16" x14ac:dyDescent="0.2">
      <c r="B13" s="177"/>
      <c r="C13" s="334"/>
      <c r="D13" s="82"/>
      <c r="E13" s="393"/>
      <c r="F13" s="393"/>
      <c r="G13" s="393"/>
      <c r="H13" s="394"/>
      <c r="I13" s="247">
        <v>0.342281</v>
      </c>
      <c r="J13" s="408"/>
      <c r="K13" s="248">
        <f>+'Planteamiento Ejercicio n°4'!F19</f>
        <v>0.31578899999999999</v>
      </c>
      <c r="L13" s="414"/>
      <c r="M13" s="179"/>
      <c r="O13" s="162"/>
      <c r="P13" s="369">
        <v>0.01</v>
      </c>
    </row>
    <row r="14" spans="2:16" x14ac:dyDescent="0.2">
      <c r="B14" s="177"/>
      <c r="C14" s="227" t="s">
        <v>185</v>
      </c>
      <c r="D14" s="249"/>
      <c r="E14" s="106">
        <f>SUM(F14:H14)</f>
        <v>10000000</v>
      </c>
      <c r="F14" s="250">
        <f>+L14</f>
        <v>10000000</v>
      </c>
      <c r="G14" s="106">
        <v>0</v>
      </c>
      <c r="H14" s="250">
        <v>0</v>
      </c>
      <c r="I14" s="106">
        <v>0</v>
      </c>
      <c r="J14" s="210">
        <v>0</v>
      </c>
      <c r="K14" s="250">
        <f>+'Planteamiento Ejercicio n°4'!F18</f>
        <v>2400000</v>
      </c>
      <c r="L14" s="106">
        <f>+'Planteamiento Ejercicio n°4'!F17</f>
        <v>10000000</v>
      </c>
      <c r="M14" s="179"/>
      <c r="O14" s="162"/>
      <c r="P14" s="162">
        <f>P12*P13</f>
        <v>24000</v>
      </c>
    </row>
    <row r="15" spans="2:16" x14ac:dyDescent="0.2">
      <c r="B15" s="177"/>
      <c r="C15" s="189" t="s">
        <v>213</v>
      </c>
      <c r="D15" s="251">
        <v>2.1999999999999999E-2</v>
      </c>
      <c r="E15" s="138">
        <f>SUM(F15:H15)</f>
        <v>220000</v>
      </c>
      <c r="F15" s="252">
        <f>ROUND(F14*D15,0)</f>
        <v>220000</v>
      </c>
      <c r="G15" s="138"/>
      <c r="H15" s="252"/>
      <c r="I15" s="138"/>
      <c r="J15" s="105"/>
      <c r="K15" s="252">
        <f>ROUND(K14*D15,0)</f>
        <v>52800</v>
      </c>
      <c r="L15" s="138">
        <f>ROUND(L14*D15,0)</f>
        <v>220000</v>
      </c>
      <c r="M15" s="179"/>
      <c r="O15" s="162"/>
      <c r="P15" s="162">
        <f>+P12+P14</f>
        <v>2424000</v>
      </c>
    </row>
    <row r="16" spans="2:16" x14ac:dyDescent="0.2">
      <c r="B16" s="177"/>
      <c r="C16" s="212" t="s">
        <v>187</v>
      </c>
      <c r="D16" s="152"/>
      <c r="E16" s="253">
        <f t="shared" ref="E16:L16" si="0">SUM(E14:E15)</f>
        <v>10220000</v>
      </c>
      <c r="F16" s="253">
        <f t="shared" si="0"/>
        <v>10220000</v>
      </c>
      <c r="G16" s="253">
        <f t="shared" si="0"/>
        <v>0</v>
      </c>
      <c r="H16" s="253">
        <f t="shared" si="0"/>
        <v>0</v>
      </c>
      <c r="I16" s="253">
        <f t="shared" si="0"/>
        <v>0</v>
      </c>
      <c r="J16" s="253">
        <f t="shared" si="0"/>
        <v>0</v>
      </c>
      <c r="K16" s="253">
        <f t="shared" si="0"/>
        <v>2452800</v>
      </c>
      <c r="L16" s="253">
        <f t="shared" si="0"/>
        <v>10220000</v>
      </c>
      <c r="M16" s="179"/>
      <c r="O16" s="162"/>
      <c r="P16" s="162"/>
    </row>
    <row r="17" spans="2:17" x14ac:dyDescent="0.2">
      <c r="B17" s="177"/>
      <c r="C17" s="90" t="s">
        <v>68</v>
      </c>
      <c r="D17" s="91"/>
      <c r="E17" s="102"/>
      <c r="F17" s="254"/>
      <c r="G17" s="255"/>
      <c r="H17" s="256"/>
      <c r="I17" s="255"/>
      <c r="J17" s="255"/>
      <c r="K17" s="153"/>
      <c r="L17" s="153"/>
      <c r="M17" s="179"/>
      <c r="O17" s="162"/>
      <c r="P17" s="162"/>
    </row>
    <row r="18" spans="2:17" x14ac:dyDescent="0.2">
      <c r="B18" s="177"/>
      <c r="C18" s="99" t="s">
        <v>214</v>
      </c>
      <c r="D18" s="91"/>
      <c r="E18" s="102">
        <f>+F18</f>
        <v>-2424000</v>
      </c>
      <c r="F18" s="138">
        <f>+L18</f>
        <v>-2424000</v>
      </c>
      <c r="G18" s="96"/>
      <c r="H18" s="102"/>
      <c r="I18" s="96"/>
      <c r="J18" s="96"/>
      <c r="K18" s="101"/>
      <c r="L18" s="101">
        <f>-P15</f>
        <v>-2424000</v>
      </c>
      <c r="M18" s="179"/>
      <c r="O18" s="165"/>
      <c r="P18" s="364"/>
      <c r="Q18" s="181"/>
    </row>
    <row r="19" spans="2:17" x14ac:dyDescent="0.2">
      <c r="B19" s="177"/>
      <c r="C19" s="85" t="s">
        <v>215</v>
      </c>
      <c r="D19" s="67"/>
      <c r="E19" s="89">
        <f>SUM(E16:E18)</f>
        <v>7796000</v>
      </c>
      <c r="F19" s="87">
        <f>SUM(F16:F18)</f>
        <v>7796000</v>
      </c>
      <c r="G19" s="87">
        <f t="shared" ref="G19:J19" si="1">SUM(G16:G18)</f>
        <v>0</v>
      </c>
      <c r="H19" s="87">
        <f t="shared" si="1"/>
        <v>0</v>
      </c>
      <c r="I19" s="87">
        <f t="shared" si="1"/>
        <v>0</v>
      </c>
      <c r="J19" s="87">
        <f t="shared" si="1"/>
        <v>0</v>
      </c>
      <c r="K19" s="87">
        <f>SUM(K16:K18)</f>
        <v>2452800</v>
      </c>
      <c r="L19" s="87">
        <f>SUM(L16:L18)</f>
        <v>7796000</v>
      </c>
      <c r="M19" s="179"/>
      <c r="O19" s="162"/>
      <c r="P19" s="364"/>
    </row>
    <row r="20" spans="2:17" x14ac:dyDescent="0.2">
      <c r="B20" s="177"/>
      <c r="C20" s="329" t="s">
        <v>68</v>
      </c>
      <c r="D20" s="151"/>
      <c r="E20" s="92"/>
      <c r="F20" s="314"/>
      <c r="G20" s="311"/>
      <c r="H20" s="314"/>
      <c r="I20" s="95"/>
      <c r="J20" s="96"/>
      <c r="K20" s="101"/>
      <c r="L20" s="337"/>
      <c r="M20" s="98"/>
      <c r="O20" s="162"/>
      <c r="P20" s="162"/>
    </row>
    <row r="21" spans="2:17" x14ac:dyDescent="0.2">
      <c r="B21" s="177"/>
      <c r="C21" s="90" t="s">
        <v>188</v>
      </c>
      <c r="D21" s="91"/>
      <c r="E21" s="92"/>
      <c r="F21" s="314"/>
      <c r="G21" s="311"/>
      <c r="H21" s="314"/>
      <c r="I21" s="95"/>
      <c r="J21" s="96"/>
      <c r="K21" s="101"/>
      <c r="L21" s="337"/>
      <c r="M21" s="98"/>
      <c r="O21" s="162"/>
      <c r="P21" s="162"/>
    </row>
    <row r="22" spans="2:17" x14ac:dyDescent="0.2">
      <c r="B22" s="177"/>
      <c r="C22" s="99" t="s">
        <v>139</v>
      </c>
      <c r="D22" s="101">
        <f>+D75</f>
        <v>2400000</v>
      </c>
      <c r="E22" s="92"/>
      <c r="F22" s="314"/>
      <c r="G22" s="311"/>
      <c r="H22" s="314"/>
      <c r="I22" s="95"/>
      <c r="J22" s="96"/>
      <c r="K22" s="101"/>
      <c r="L22" s="337"/>
      <c r="M22" s="98"/>
      <c r="O22" s="162"/>
      <c r="P22" s="162"/>
    </row>
    <row r="23" spans="2:17" x14ac:dyDescent="0.2">
      <c r="B23" s="177"/>
      <c r="C23" s="257" t="s">
        <v>140</v>
      </c>
      <c r="D23" s="258">
        <f>-D22</f>
        <v>-2400000</v>
      </c>
      <c r="E23" s="259">
        <f>SUM(F23:G23)</f>
        <v>-2400000</v>
      </c>
      <c r="F23" s="338">
        <f>+D23</f>
        <v>-2400000</v>
      </c>
      <c r="G23" s="339"/>
      <c r="H23" s="338"/>
      <c r="I23" s="260"/>
      <c r="J23" s="261"/>
      <c r="K23" s="258">
        <f>ROUND(L23*K13,0)</f>
        <v>-757894</v>
      </c>
      <c r="L23" s="340">
        <f>+D23</f>
        <v>-2400000</v>
      </c>
      <c r="M23" s="98"/>
      <c r="O23" s="162"/>
      <c r="P23" s="162"/>
    </row>
    <row r="24" spans="2:17" x14ac:dyDescent="0.2">
      <c r="B24" s="177"/>
      <c r="C24" s="257" t="s">
        <v>208</v>
      </c>
      <c r="D24" s="262">
        <f>SUM(D22:D23)</f>
        <v>0</v>
      </c>
      <c r="E24" s="259"/>
      <c r="F24" s="338"/>
      <c r="G24" s="339"/>
      <c r="H24" s="338"/>
      <c r="I24" s="260"/>
      <c r="J24" s="261"/>
      <c r="K24" s="258"/>
      <c r="L24" s="340"/>
      <c r="M24" s="98"/>
      <c r="O24" s="162"/>
      <c r="P24" s="162"/>
    </row>
    <row r="25" spans="2:17" x14ac:dyDescent="0.2">
      <c r="B25" s="177"/>
      <c r="C25" s="263"/>
      <c r="D25" s="264"/>
      <c r="E25" s="259"/>
      <c r="F25" s="338"/>
      <c r="G25" s="339"/>
      <c r="H25" s="338"/>
      <c r="I25" s="260"/>
      <c r="J25" s="261"/>
      <c r="K25" s="258"/>
      <c r="L25" s="340"/>
      <c r="M25" s="98"/>
      <c r="O25" s="162"/>
      <c r="P25" s="162"/>
    </row>
    <row r="26" spans="2:17" x14ac:dyDescent="0.2">
      <c r="B26" s="177"/>
      <c r="C26" s="85" t="s">
        <v>217</v>
      </c>
      <c r="D26" s="86"/>
      <c r="E26" s="89">
        <f t="shared" ref="E26:J26" si="2">SUM(E19:E25)</f>
        <v>5396000</v>
      </c>
      <c r="F26" s="89">
        <f t="shared" si="2"/>
        <v>5396000</v>
      </c>
      <c r="G26" s="89">
        <f t="shared" si="2"/>
        <v>0</v>
      </c>
      <c r="H26" s="89">
        <f t="shared" si="2"/>
        <v>0</v>
      </c>
      <c r="I26" s="89">
        <f t="shared" si="2"/>
        <v>0</v>
      </c>
      <c r="J26" s="89">
        <f t="shared" si="2"/>
        <v>0</v>
      </c>
      <c r="K26" s="89">
        <f>SUM(K19:K25)</f>
        <v>1694906</v>
      </c>
      <c r="L26" s="89">
        <f>SUM(L19:L25)</f>
        <v>5396000</v>
      </c>
      <c r="M26" s="179"/>
      <c r="O26" s="162"/>
      <c r="P26" s="364"/>
    </row>
    <row r="27" spans="2:17" x14ac:dyDescent="0.2">
      <c r="B27" s="177"/>
      <c r="C27" s="257" t="s">
        <v>186</v>
      </c>
      <c r="D27" s="331">
        <v>5.0000000000000001E-3</v>
      </c>
      <c r="E27" s="332">
        <f>SUM(F27:H27)</f>
        <v>26980</v>
      </c>
      <c r="F27" s="332">
        <f>ROUND(F26*$D$27,0)</f>
        <v>26980</v>
      </c>
      <c r="G27" s="332">
        <f>ROUND(G26*$D$27,0)</f>
        <v>0</v>
      </c>
      <c r="H27" s="332">
        <f t="shared" ref="H27:L27" si="3">ROUND(H26*$D$27,0)</f>
        <v>0</v>
      </c>
      <c r="I27" s="332">
        <f t="shared" si="3"/>
        <v>0</v>
      </c>
      <c r="J27" s="332">
        <f t="shared" si="3"/>
        <v>0</v>
      </c>
      <c r="K27" s="332">
        <f t="shared" si="3"/>
        <v>8475</v>
      </c>
      <c r="L27" s="332">
        <f t="shared" si="3"/>
        <v>26980</v>
      </c>
      <c r="M27" s="98"/>
      <c r="O27" s="162"/>
      <c r="P27" s="162"/>
    </row>
    <row r="28" spans="2:17" x14ac:dyDescent="0.2">
      <c r="B28" s="177"/>
      <c r="C28" s="85" t="s">
        <v>216</v>
      </c>
      <c r="D28" s="271"/>
      <c r="E28" s="89">
        <f>SUM(F28:H28)</f>
        <v>5422980</v>
      </c>
      <c r="F28" s="89">
        <f>SUM(F26:F27)</f>
        <v>5422980</v>
      </c>
      <c r="G28" s="89">
        <f t="shared" ref="G28:L28" si="4">SUM(G26:G27)</f>
        <v>0</v>
      </c>
      <c r="H28" s="89">
        <f t="shared" si="4"/>
        <v>0</v>
      </c>
      <c r="I28" s="89">
        <f t="shared" si="4"/>
        <v>0</v>
      </c>
      <c r="J28" s="89">
        <f t="shared" si="4"/>
        <v>0</v>
      </c>
      <c r="K28" s="89">
        <f t="shared" si="4"/>
        <v>1703381</v>
      </c>
      <c r="L28" s="89">
        <f t="shared" si="4"/>
        <v>5422980</v>
      </c>
      <c r="M28" s="98"/>
      <c r="O28" s="162"/>
      <c r="P28" s="162"/>
    </row>
    <row r="29" spans="2:17" x14ac:dyDescent="0.2">
      <c r="B29" s="177"/>
      <c r="C29" s="309" t="s">
        <v>68</v>
      </c>
      <c r="D29" s="264"/>
      <c r="E29" s="259"/>
      <c r="F29" s="338"/>
      <c r="G29" s="339"/>
      <c r="H29" s="338"/>
      <c r="I29" s="260"/>
      <c r="J29" s="261"/>
      <c r="K29" s="258"/>
      <c r="L29" s="340"/>
      <c r="M29" s="98"/>
      <c r="O29" s="162"/>
      <c r="P29" s="162"/>
    </row>
    <row r="30" spans="2:17" x14ac:dyDescent="0.2">
      <c r="B30" s="177"/>
      <c r="C30" s="263" t="s">
        <v>138</v>
      </c>
      <c r="D30" s="264"/>
      <c r="E30" s="259"/>
      <c r="F30" s="338"/>
      <c r="G30" s="339"/>
      <c r="H30" s="338"/>
      <c r="I30" s="260"/>
      <c r="J30" s="261"/>
      <c r="K30" s="258"/>
      <c r="L30" s="340"/>
      <c r="M30" s="98"/>
      <c r="O30" s="162"/>
      <c r="P30" s="162"/>
    </row>
    <row r="31" spans="2:17" x14ac:dyDescent="0.2">
      <c r="B31" s="177"/>
      <c r="C31" s="257" t="s">
        <v>139</v>
      </c>
      <c r="D31" s="258">
        <f>+D76</f>
        <v>5600000</v>
      </c>
      <c r="E31" s="259"/>
      <c r="F31" s="338"/>
      <c r="G31" s="339"/>
      <c r="H31" s="338"/>
      <c r="I31" s="260"/>
      <c r="J31" s="261"/>
      <c r="K31" s="258"/>
      <c r="L31" s="340"/>
      <c r="M31" s="98"/>
      <c r="O31" s="162"/>
      <c r="P31" s="364"/>
    </row>
    <row r="32" spans="2:17" x14ac:dyDescent="0.2">
      <c r="B32" s="177"/>
      <c r="C32" s="257" t="s">
        <v>140</v>
      </c>
      <c r="D32" s="258">
        <f>-F28</f>
        <v>-5422980</v>
      </c>
      <c r="E32" s="259">
        <f>SUM(F32:G32)</f>
        <v>-5422980</v>
      </c>
      <c r="F32" s="338">
        <f>+D32</f>
        <v>-5422980</v>
      </c>
      <c r="G32" s="339"/>
      <c r="H32" s="338"/>
      <c r="I32" s="260"/>
      <c r="J32" s="261"/>
      <c r="K32" s="258">
        <f>-K28</f>
        <v>-1703381</v>
      </c>
      <c r="L32" s="340">
        <f>+F32</f>
        <v>-5422980</v>
      </c>
      <c r="M32" s="98"/>
      <c r="O32" s="234">
        <f>+L32*K13</f>
        <v>-1712517.4312199999</v>
      </c>
      <c r="P32" s="364"/>
    </row>
    <row r="33" spans="2:16" x14ac:dyDescent="0.2">
      <c r="B33" s="177"/>
      <c r="C33" s="257" t="s">
        <v>208</v>
      </c>
      <c r="D33" s="262">
        <f>SUM(D31:D32)</f>
        <v>177020</v>
      </c>
      <c r="E33" s="259"/>
      <c r="F33" s="338"/>
      <c r="G33" s="339"/>
      <c r="H33" s="338"/>
      <c r="I33" s="260"/>
      <c r="J33" s="261"/>
      <c r="K33" s="258"/>
      <c r="L33" s="340"/>
      <c r="M33" s="98"/>
      <c r="O33" s="234">
        <f>+O32-K32</f>
        <v>-9136.4312199999113</v>
      </c>
      <c r="P33" s="370"/>
    </row>
    <row r="34" spans="2:16" x14ac:dyDescent="0.2">
      <c r="B34" s="177"/>
      <c r="C34" s="257"/>
      <c r="D34" s="258"/>
      <c r="E34" s="259"/>
      <c r="F34" s="338"/>
      <c r="G34" s="339"/>
      <c r="H34" s="338"/>
      <c r="I34" s="260"/>
      <c r="J34" s="261"/>
      <c r="K34" s="258"/>
      <c r="L34" s="340"/>
      <c r="M34" s="98"/>
      <c r="O34" s="162"/>
      <c r="P34" s="162"/>
    </row>
    <row r="35" spans="2:16" x14ac:dyDescent="0.2">
      <c r="B35" s="177"/>
      <c r="C35" s="85" t="s">
        <v>219</v>
      </c>
      <c r="D35" s="86"/>
      <c r="E35" s="89">
        <f t="shared" ref="E35" si="5">SUM(E28:E34)</f>
        <v>0</v>
      </c>
      <c r="F35" s="89">
        <f t="shared" ref="F35" si="6">SUM(F28:F34)</f>
        <v>0</v>
      </c>
      <c r="G35" s="89">
        <f t="shared" ref="G35" si="7">SUM(G28:G34)</f>
        <v>0</v>
      </c>
      <c r="H35" s="89">
        <f t="shared" ref="H35" si="8">SUM(H28:H34)</f>
        <v>0</v>
      </c>
      <c r="I35" s="89">
        <f t="shared" ref="I35" si="9">SUM(I28:I34)</f>
        <v>0</v>
      </c>
      <c r="J35" s="89">
        <f t="shared" ref="J35" si="10">SUM(J28:J34)</f>
        <v>0</v>
      </c>
      <c r="K35" s="89">
        <f t="shared" ref="K35" si="11">SUM(K28:K34)</f>
        <v>0</v>
      </c>
      <c r="L35" s="89">
        <f t="shared" ref="L35" si="12">SUM(L28:L34)</f>
        <v>0</v>
      </c>
      <c r="M35" s="179"/>
      <c r="O35" s="162"/>
      <c r="P35" s="364"/>
    </row>
    <row r="36" spans="2:16" x14ac:dyDescent="0.2">
      <c r="B36" s="177"/>
      <c r="C36" s="257" t="s">
        <v>218</v>
      </c>
      <c r="D36" s="331">
        <v>2E-3</v>
      </c>
      <c r="E36" s="332">
        <f>SUM(F36:H36)</f>
        <v>0</v>
      </c>
      <c r="F36" s="332">
        <f>ROUND(F35*$D$36,0)</f>
        <v>0</v>
      </c>
      <c r="G36" s="332">
        <f t="shared" ref="G36:H36" si="13">ROUND(G35*$D$36,0)</f>
        <v>0</v>
      </c>
      <c r="H36" s="332">
        <f t="shared" si="13"/>
        <v>0</v>
      </c>
      <c r="I36" s="332">
        <f t="shared" ref="I36" si="14">ROUND(I35*$D$36,0)</f>
        <v>0</v>
      </c>
      <c r="J36" s="332">
        <f t="shared" ref="J36" si="15">ROUND(J35*$D$36,0)</f>
        <v>0</v>
      </c>
      <c r="K36" s="332">
        <f t="shared" ref="K36" si="16">ROUND(K35*$D$36,0)</f>
        <v>0</v>
      </c>
      <c r="L36" s="332">
        <f t="shared" ref="L36" si="17">ROUND(L35*$D$36,0)</f>
        <v>0</v>
      </c>
      <c r="M36" s="98"/>
      <c r="O36" s="162"/>
      <c r="P36" s="162"/>
    </row>
    <row r="37" spans="2:16" x14ac:dyDescent="0.2">
      <c r="B37" s="177"/>
      <c r="C37" s="85" t="s">
        <v>220</v>
      </c>
      <c r="D37" s="271"/>
      <c r="E37" s="89">
        <f>SUM(F37:H37)</f>
        <v>0</v>
      </c>
      <c r="F37" s="89">
        <f>SUM(F35:F36)</f>
        <v>0</v>
      </c>
      <c r="G37" s="89">
        <f t="shared" ref="G37" si="18">SUM(G35:G36)</f>
        <v>0</v>
      </c>
      <c r="H37" s="89">
        <f t="shared" ref="H37" si="19">SUM(H35:H36)</f>
        <v>0</v>
      </c>
      <c r="I37" s="89">
        <f t="shared" ref="I37" si="20">SUM(I35:I36)</f>
        <v>0</v>
      </c>
      <c r="J37" s="89">
        <f t="shared" ref="J37" si="21">SUM(J35:J36)</f>
        <v>0</v>
      </c>
      <c r="K37" s="89">
        <f t="shared" ref="K37" si="22">SUM(K35:K36)</f>
        <v>0</v>
      </c>
      <c r="L37" s="89">
        <f t="shared" ref="L37" si="23">SUM(L35:L36)</f>
        <v>0</v>
      </c>
      <c r="M37" s="98"/>
    </row>
    <row r="38" spans="2:16" x14ac:dyDescent="0.2">
      <c r="B38" s="177"/>
      <c r="C38" s="90"/>
      <c r="D38" s="264"/>
      <c r="E38" s="153"/>
      <c r="F38" s="256"/>
      <c r="G38" s="255"/>
      <c r="H38" s="256"/>
      <c r="I38" s="255"/>
      <c r="J38" s="255"/>
      <c r="K38" s="153"/>
      <c r="L38" s="153"/>
      <c r="M38" s="98"/>
    </row>
    <row r="39" spans="2:16" x14ac:dyDescent="0.2">
      <c r="B39" s="177"/>
      <c r="C39" s="263" t="s">
        <v>66</v>
      </c>
      <c r="D39" s="264"/>
      <c r="E39" s="259"/>
      <c r="F39" s="338"/>
      <c r="G39" s="339"/>
      <c r="H39" s="338"/>
      <c r="I39" s="260"/>
      <c r="J39" s="261"/>
      <c r="K39" s="258"/>
      <c r="L39" s="340"/>
      <c r="M39" s="98"/>
    </row>
    <row r="40" spans="2:16" x14ac:dyDescent="0.2">
      <c r="B40" s="177"/>
      <c r="C40" s="257" t="s">
        <v>222</v>
      </c>
      <c r="D40" s="265"/>
      <c r="E40" s="258"/>
      <c r="F40" s="266"/>
      <c r="G40" s="261"/>
      <c r="H40" s="266"/>
      <c r="I40" s="261">
        <f>+'Desarrollo Ejercicio n°4 A'!G25</f>
        <v>177327</v>
      </c>
      <c r="J40" s="261"/>
      <c r="K40" s="258"/>
      <c r="L40" s="258"/>
      <c r="M40" s="179"/>
    </row>
    <row r="41" spans="2:16" x14ac:dyDescent="0.2">
      <c r="B41" s="177"/>
      <c r="C41" s="257" t="s">
        <v>143</v>
      </c>
      <c r="D41" s="265"/>
      <c r="E41" s="258"/>
      <c r="F41" s="266"/>
      <c r="G41" s="261"/>
      <c r="H41" s="266"/>
      <c r="I41" s="261">
        <f>ROUND(2000000*0.342281,0)</f>
        <v>684562</v>
      </c>
      <c r="J41" s="261"/>
      <c r="K41" s="258"/>
      <c r="L41" s="258"/>
      <c r="M41" s="179"/>
    </row>
    <row r="42" spans="2:16" x14ac:dyDescent="0.2">
      <c r="B42" s="177"/>
      <c r="C42" s="257" t="s">
        <v>144</v>
      </c>
      <c r="D42" s="267"/>
      <c r="E42" s="261">
        <f>SUM(F42:H42)</f>
        <v>1074734</v>
      </c>
      <c r="F42" s="261">
        <f>+D88</f>
        <v>1074734</v>
      </c>
      <c r="G42" s="261"/>
      <c r="H42" s="266"/>
      <c r="I42" s="261"/>
      <c r="J42" s="261"/>
      <c r="K42" s="258"/>
      <c r="L42" s="258"/>
      <c r="M42" s="179"/>
    </row>
    <row r="43" spans="2:16" x14ac:dyDescent="0.2">
      <c r="B43" s="177"/>
      <c r="C43" s="257" t="s">
        <v>145</v>
      </c>
      <c r="D43" s="265"/>
      <c r="E43" s="258">
        <f>+G43</f>
        <v>3570000</v>
      </c>
      <c r="F43" s="266"/>
      <c r="G43" s="261">
        <f>+F67</f>
        <v>3570000</v>
      </c>
      <c r="H43" s="266"/>
      <c r="I43" s="261"/>
      <c r="J43" s="261"/>
      <c r="K43" s="258"/>
      <c r="L43" s="258"/>
      <c r="M43" s="179"/>
    </row>
    <row r="44" spans="2:16" x14ac:dyDescent="0.2">
      <c r="B44" s="177"/>
      <c r="C44" s="268"/>
      <c r="D44" s="269"/>
      <c r="E44" s="269"/>
      <c r="F44" s="266"/>
      <c r="G44" s="261"/>
      <c r="H44" s="266"/>
      <c r="I44" s="261"/>
      <c r="J44" s="261"/>
      <c r="K44" s="258"/>
      <c r="L44" s="258"/>
      <c r="M44" s="179"/>
    </row>
    <row r="45" spans="2:16" x14ac:dyDescent="0.2">
      <c r="B45" s="177"/>
      <c r="C45" s="270" t="s">
        <v>69</v>
      </c>
      <c r="D45" s="271"/>
      <c r="E45" s="272">
        <f t="shared" ref="E45:K45" si="24">SUM(E37:E44)</f>
        <v>4644734</v>
      </c>
      <c r="F45" s="272">
        <f t="shared" si="24"/>
        <v>1074734</v>
      </c>
      <c r="G45" s="272">
        <f t="shared" si="24"/>
        <v>3570000</v>
      </c>
      <c r="H45" s="272">
        <f t="shared" si="24"/>
        <v>0</v>
      </c>
      <c r="I45" s="272">
        <f t="shared" si="24"/>
        <v>861889</v>
      </c>
      <c r="J45" s="272">
        <f t="shared" si="24"/>
        <v>0</v>
      </c>
      <c r="K45" s="272">
        <f t="shared" si="24"/>
        <v>0</v>
      </c>
      <c r="L45" s="272">
        <f>SUM(L37:L44)</f>
        <v>0</v>
      </c>
      <c r="M45" s="179"/>
    </row>
    <row r="46" spans="2:16" x14ac:dyDescent="0.2">
      <c r="B46" s="177"/>
      <c r="C46" s="263" t="s">
        <v>68</v>
      </c>
      <c r="D46" s="265"/>
      <c r="E46" s="273"/>
      <c r="F46" s="266"/>
      <c r="G46" s="273"/>
      <c r="H46" s="266"/>
      <c r="I46" s="273"/>
      <c r="J46" s="273"/>
      <c r="K46" s="273"/>
      <c r="L46" s="273"/>
      <c r="M46" s="179"/>
    </row>
    <row r="47" spans="2:16" x14ac:dyDescent="0.2">
      <c r="B47" s="177"/>
      <c r="C47" s="263" t="s">
        <v>189</v>
      </c>
      <c r="D47" s="265"/>
      <c r="E47" s="261"/>
      <c r="F47" s="266"/>
      <c r="G47" s="261"/>
      <c r="H47" s="266"/>
      <c r="I47" s="261"/>
      <c r="J47" s="261"/>
      <c r="K47" s="261"/>
      <c r="L47" s="261"/>
      <c r="M47" s="179"/>
    </row>
    <row r="48" spans="2:16" x14ac:dyDescent="0.2">
      <c r="B48" s="177"/>
      <c r="C48" s="257" t="s">
        <v>208</v>
      </c>
      <c r="D48" s="258">
        <f>+H76</f>
        <v>177374</v>
      </c>
      <c r="E48" s="261">
        <f>SUM(F48:H48)</f>
        <v>-177374</v>
      </c>
      <c r="F48" s="266">
        <f>-D48</f>
        <v>-177374</v>
      </c>
      <c r="G48" s="261"/>
      <c r="H48" s="341"/>
      <c r="I48" s="261">
        <f>+F48*I13</f>
        <v>-60711.750094000003</v>
      </c>
      <c r="J48" s="342"/>
      <c r="K48" s="342"/>
      <c r="L48" s="342"/>
      <c r="M48" s="179"/>
    </row>
    <row r="49" spans="2:13" x14ac:dyDescent="0.2">
      <c r="B49" s="177"/>
      <c r="C49" s="309" t="s">
        <v>221</v>
      </c>
      <c r="D49" s="109">
        <f>SUM(D48:D48)</f>
        <v>177374</v>
      </c>
      <c r="E49" s="310"/>
      <c r="F49" s="178"/>
      <c r="G49" s="310"/>
      <c r="H49" s="178"/>
      <c r="I49" s="310"/>
      <c r="J49" s="310"/>
      <c r="K49" s="310"/>
      <c r="L49" s="310"/>
      <c r="M49" s="179"/>
    </row>
    <row r="50" spans="2:13" x14ac:dyDescent="0.2">
      <c r="B50" s="177"/>
      <c r="C50" s="309"/>
      <c r="D50" s="153"/>
      <c r="E50" s="310"/>
      <c r="F50" s="178"/>
      <c r="G50" s="310"/>
      <c r="H50" s="178"/>
      <c r="I50" s="310"/>
      <c r="J50" s="310"/>
      <c r="K50" s="310"/>
      <c r="L50" s="310"/>
      <c r="M50" s="179"/>
    </row>
    <row r="51" spans="2:13" x14ac:dyDescent="0.2">
      <c r="B51" s="177"/>
      <c r="C51" s="309" t="s">
        <v>68</v>
      </c>
      <c r="D51" s="153"/>
      <c r="E51" s="310"/>
      <c r="F51" s="178"/>
      <c r="G51" s="310"/>
      <c r="H51" s="178"/>
      <c r="I51" s="310"/>
      <c r="J51" s="310"/>
      <c r="K51" s="310"/>
      <c r="L51" s="310"/>
      <c r="M51" s="179"/>
    </row>
    <row r="52" spans="2:13" x14ac:dyDescent="0.2">
      <c r="B52" s="177"/>
      <c r="C52" s="343" t="s">
        <v>26</v>
      </c>
      <c r="D52" s="101">
        <f>-'Desarrollo Ejercicio n°4 A'!F15</f>
        <v>-150000</v>
      </c>
      <c r="E52" s="310"/>
      <c r="F52" s="178"/>
      <c r="G52" s="310"/>
      <c r="H52" s="178"/>
      <c r="I52" s="261">
        <f>ROUND(D52*I13,0)</f>
        <v>-51342</v>
      </c>
      <c r="J52" s="310"/>
      <c r="K52" s="310"/>
      <c r="L52" s="310"/>
      <c r="M52" s="179"/>
    </row>
    <row r="53" spans="2:13" x14ac:dyDescent="0.2">
      <c r="B53" s="177"/>
      <c r="C53" s="343"/>
      <c r="D53" s="344"/>
      <c r="E53" s="310"/>
      <c r="F53" s="178"/>
      <c r="G53" s="310"/>
      <c r="H53" s="178"/>
      <c r="I53" s="310"/>
      <c r="J53" s="310"/>
      <c r="K53" s="310"/>
      <c r="L53" s="310"/>
      <c r="M53" s="179"/>
    </row>
    <row r="54" spans="2:13" x14ac:dyDescent="0.2">
      <c r="B54" s="177"/>
      <c r="C54" s="85" t="s">
        <v>74</v>
      </c>
      <c r="D54" s="86"/>
      <c r="E54" s="89">
        <f t="shared" ref="E54:L54" si="25">SUM(E45:E53)</f>
        <v>4467360</v>
      </c>
      <c r="F54" s="88">
        <f t="shared" si="25"/>
        <v>897360</v>
      </c>
      <c r="G54" s="89">
        <f t="shared" si="25"/>
        <v>3570000</v>
      </c>
      <c r="H54" s="88">
        <f t="shared" si="25"/>
        <v>0</v>
      </c>
      <c r="I54" s="89">
        <f t="shared" si="25"/>
        <v>749835.24990599998</v>
      </c>
      <c r="J54" s="89">
        <f t="shared" si="25"/>
        <v>0</v>
      </c>
      <c r="K54" s="89">
        <f t="shared" si="25"/>
        <v>0</v>
      </c>
      <c r="L54" s="89">
        <f t="shared" si="25"/>
        <v>0</v>
      </c>
      <c r="M54" s="179"/>
    </row>
    <row r="55" spans="2:13" x14ac:dyDescent="0.2">
      <c r="B55" s="177"/>
      <c r="C55" s="112"/>
      <c r="D55" s="112"/>
      <c r="E55" s="66"/>
      <c r="F55" s="66"/>
      <c r="G55" s="66"/>
      <c r="H55" s="66"/>
      <c r="I55" s="66"/>
      <c r="J55" s="66"/>
      <c r="K55" s="66"/>
      <c r="L55" s="66"/>
      <c r="M55" s="179"/>
    </row>
    <row r="56" spans="2:13" x14ac:dyDescent="0.2">
      <c r="B56" s="177"/>
      <c r="C56" s="180" t="s">
        <v>150</v>
      </c>
      <c r="D56" s="318" t="s">
        <v>151</v>
      </c>
      <c r="E56" s="318" t="s">
        <v>152</v>
      </c>
      <c r="F56" s="178"/>
      <c r="G56" s="178"/>
      <c r="H56" s="178"/>
      <c r="I56" s="178"/>
      <c r="J56" s="178"/>
      <c r="K56" s="178"/>
      <c r="L56" s="178"/>
      <c r="M56" s="179"/>
    </row>
    <row r="57" spans="2:13" x14ac:dyDescent="0.2">
      <c r="B57" s="177"/>
      <c r="C57" s="325" t="s">
        <v>190</v>
      </c>
      <c r="D57" s="345">
        <v>0.3</v>
      </c>
      <c r="E57" s="345">
        <v>0.7</v>
      </c>
      <c r="F57" s="178"/>
      <c r="G57" s="178"/>
      <c r="H57" s="178"/>
      <c r="I57" s="178"/>
      <c r="J57" s="178"/>
      <c r="K57" s="178"/>
      <c r="L57" s="178"/>
      <c r="M57" s="179"/>
    </row>
    <row r="58" spans="2:13" x14ac:dyDescent="0.2">
      <c r="B58" s="177"/>
      <c r="C58" s="178" t="s">
        <v>191</v>
      </c>
      <c r="D58" s="102">
        <f>(-$D$23-$D$32)*30%</f>
        <v>2346894</v>
      </c>
      <c r="E58" s="102">
        <f>(-$D$23-$D$32)*70%</f>
        <v>5476086</v>
      </c>
      <c r="F58" s="178"/>
      <c r="G58" s="178"/>
      <c r="H58" s="178"/>
      <c r="I58" s="178"/>
      <c r="J58" s="178"/>
      <c r="K58" s="178"/>
      <c r="L58" s="178"/>
      <c r="M58" s="179"/>
    </row>
    <row r="59" spans="2:13" x14ac:dyDescent="0.2">
      <c r="B59" s="177"/>
      <c r="C59" s="178" t="s">
        <v>192</v>
      </c>
      <c r="D59" s="102">
        <f>+D48*30%</f>
        <v>53212.2</v>
      </c>
      <c r="E59" s="102">
        <f>+D49*70%</f>
        <v>124161.79999999999</v>
      </c>
      <c r="F59" s="178"/>
      <c r="G59" s="178"/>
      <c r="H59" s="178"/>
      <c r="I59" s="178"/>
      <c r="J59" s="178"/>
      <c r="K59" s="178"/>
      <c r="L59" s="178"/>
      <c r="M59" s="179"/>
    </row>
    <row r="60" spans="2:13" x14ac:dyDescent="0.2">
      <c r="B60" s="177"/>
      <c r="C60" s="178"/>
      <c r="D60" s="321"/>
      <c r="E60" s="321"/>
      <c r="F60" s="178"/>
      <c r="G60" s="178"/>
      <c r="H60" s="178"/>
      <c r="I60" s="178"/>
      <c r="J60" s="178"/>
      <c r="K60" s="178"/>
      <c r="L60" s="178"/>
      <c r="M60" s="179"/>
    </row>
    <row r="61" spans="2:13" x14ac:dyDescent="0.2">
      <c r="B61" s="177"/>
      <c r="C61" s="323" t="s">
        <v>156</v>
      </c>
      <c r="D61" s="88">
        <f>SUM(D58:D60)</f>
        <v>2400106.2000000002</v>
      </c>
      <c r="E61" s="87">
        <f>SUM(E58:E60)</f>
        <v>5600247.7999999998</v>
      </c>
      <c r="F61" s="178"/>
      <c r="G61" s="178"/>
      <c r="H61" s="178"/>
      <c r="I61" s="178"/>
      <c r="J61" s="178"/>
      <c r="K61" s="178"/>
      <c r="L61" s="178"/>
      <c r="M61" s="179"/>
    </row>
    <row r="62" spans="2:13" x14ac:dyDescent="0.2">
      <c r="B62" s="177"/>
      <c r="C62" s="180"/>
      <c r="D62" s="214"/>
      <c r="E62" s="214"/>
      <c r="F62" s="178"/>
      <c r="G62" s="178"/>
      <c r="H62" s="178"/>
      <c r="I62" s="178"/>
      <c r="J62" s="178"/>
      <c r="K62" s="178"/>
      <c r="L62" s="178"/>
      <c r="M62" s="179"/>
    </row>
    <row r="63" spans="2:13" x14ac:dyDescent="0.2">
      <c r="B63" s="177"/>
      <c r="C63" s="180"/>
      <c r="D63" s="214"/>
      <c r="E63" s="214"/>
      <c r="F63" s="178"/>
      <c r="G63" s="178"/>
      <c r="H63" s="178"/>
      <c r="I63" s="178"/>
      <c r="J63" s="178"/>
      <c r="K63" s="178"/>
      <c r="L63" s="178"/>
      <c r="M63" s="179"/>
    </row>
    <row r="64" spans="2:13" x14ac:dyDescent="0.2">
      <c r="B64" s="177"/>
      <c r="C64" s="325" t="s">
        <v>81</v>
      </c>
      <c r="D64" s="214"/>
      <c r="E64" s="214"/>
      <c r="F64" s="178"/>
      <c r="G64" s="178"/>
      <c r="H64" s="178"/>
      <c r="I64" s="178"/>
      <c r="J64" s="178"/>
      <c r="K64" s="178"/>
      <c r="L64" s="178"/>
      <c r="M64" s="179"/>
    </row>
    <row r="65" spans="2:14" x14ac:dyDescent="0.2">
      <c r="B65" s="177"/>
      <c r="C65" s="112"/>
      <c r="D65" s="112"/>
      <c r="E65" s="112"/>
      <c r="F65" s="178"/>
      <c r="G65" s="178"/>
      <c r="H65" s="178"/>
      <c r="I65" s="178"/>
      <c r="J65" s="178"/>
      <c r="K65" s="178"/>
      <c r="L65" s="178"/>
      <c r="M65" s="179"/>
    </row>
    <row r="66" spans="2:14" x14ac:dyDescent="0.2">
      <c r="B66" s="177"/>
      <c r="C66" s="121" t="s">
        <v>82</v>
      </c>
      <c r="D66" s="335" t="s">
        <v>83</v>
      </c>
      <c r="E66" s="335" t="s">
        <v>84</v>
      </c>
      <c r="F66" s="326" t="s">
        <v>59</v>
      </c>
      <c r="G66" s="178"/>
      <c r="H66" s="178"/>
      <c r="I66" s="178"/>
      <c r="J66" s="178"/>
      <c r="K66" s="178"/>
      <c r="L66" s="178"/>
      <c r="M66" s="179"/>
    </row>
    <row r="67" spans="2:14" x14ac:dyDescent="0.2">
      <c r="B67" s="177"/>
      <c r="C67" s="124">
        <f>-+'Planteamiento Ejercicio n°4'!G62*3</f>
        <v>15300000</v>
      </c>
      <c r="D67" s="125">
        <f>+C67/10</f>
        <v>1530000</v>
      </c>
      <c r="E67" s="125">
        <f>-+'Desarrollo Ejercicio n°4 A'!F19</f>
        <v>5100000</v>
      </c>
      <c r="F67" s="126">
        <f>-+'Planteamiento Ejercicio n°4'!G62-D67</f>
        <v>3570000</v>
      </c>
      <c r="G67" s="178"/>
      <c r="H67" s="178"/>
      <c r="I67" s="178"/>
      <c r="J67" s="178"/>
      <c r="K67" s="178"/>
      <c r="L67" s="178"/>
      <c r="M67" s="179"/>
    </row>
    <row r="68" spans="2:14" x14ac:dyDescent="0.2">
      <c r="B68" s="177"/>
      <c r="C68" s="215"/>
      <c r="D68" s="215"/>
      <c r="E68" s="215"/>
      <c r="F68" s="215"/>
      <c r="G68" s="178"/>
      <c r="H68" s="178"/>
      <c r="I68" s="178"/>
      <c r="J68" s="178"/>
      <c r="K68" s="178"/>
      <c r="L68" s="178"/>
      <c r="M68" s="179"/>
    </row>
    <row r="69" spans="2:14" x14ac:dyDescent="0.2">
      <c r="B69" s="177"/>
      <c r="C69" s="112"/>
      <c r="D69" s="112"/>
      <c r="E69" s="112"/>
      <c r="F69" s="178"/>
      <c r="G69" s="178"/>
      <c r="H69" s="178"/>
      <c r="I69" s="178"/>
      <c r="J69" s="178"/>
      <c r="K69" s="178"/>
      <c r="L69" s="178"/>
      <c r="M69" s="179"/>
    </row>
    <row r="70" spans="2:14" ht="38.25" x14ac:dyDescent="0.2">
      <c r="B70" s="177"/>
      <c r="C70" s="333" t="s">
        <v>85</v>
      </c>
      <c r="D70" s="83" t="s">
        <v>86</v>
      </c>
      <c r="E70" s="80" t="s">
        <v>87</v>
      </c>
      <c r="F70" s="178"/>
      <c r="G70" s="178"/>
      <c r="H70" s="178"/>
      <c r="I70" s="314"/>
      <c r="J70" s="178"/>
      <c r="K70" s="178"/>
      <c r="L70" s="178"/>
      <c r="M70" s="179"/>
    </row>
    <row r="71" spans="2:14" x14ac:dyDescent="0.2">
      <c r="B71" s="177"/>
      <c r="C71" s="327">
        <v>2000000</v>
      </c>
      <c r="D71" s="129">
        <v>0.342281</v>
      </c>
      <c r="E71" s="328">
        <f>C71*D71</f>
        <v>684562</v>
      </c>
      <c r="F71" s="178"/>
      <c r="G71" s="178"/>
      <c r="H71" s="178"/>
      <c r="I71" s="240"/>
      <c r="J71" s="178"/>
      <c r="K71" s="178"/>
      <c r="L71" s="178"/>
      <c r="M71" s="179"/>
    </row>
    <row r="72" spans="2:14" x14ac:dyDescent="0.2">
      <c r="B72" s="177"/>
      <c r="C72" s="240"/>
      <c r="D72" s="112"/>
      <c r="E72" s="240"/>
      <c r="F72" s="178"/>
      <c r="G72" s="178"/>
      <c r="H72" s="178"/>
      <c r="I72" s="240"/>
      <c r="J72" s="178"/>
      <c r="K72" s="178"/>
      <c r="L72" s="178"/>
      <c r="M72" s="179"/>
    </row>
    <row r="73" spans="2:14" x14ac:dyDescent="0.2">
      <c r="B73" s="177"/>
      <c r="C73" s="112"/>
      <c r="D73" s="112"/>
      <c r="E73" s="112"/>
      <c r="F73" s="112"/>
      <c r="G73" s="112"/>
      <c r="H73" s="178"/>
      <c r="I73" s="178"/>
      <c r="J73" s="178"/>
      <c r="K73" s="178"/>
      <c r="L73" s="178"/>
      <c r="M73" s="179"/>
    </row>
    <row r="74" spans="2:14" ht="25.5" x14ac:dyDescent="0.2">
      <c r="B74" s="177"/>
      <c r="C74" s="178"/>
      <c r="D74" s="336" t="s">
        <v>157</v>
      </c>
      <c r="E74" s="336" t="s">
        <v>193</v>
      </c>
      <c r="F74" s="274" t="s">
        <v>194</v>
      </c>
      <c r="G74" s="336" t="s">
        <v>89</v>
      </c>
      <c r="H74" s="83" t="s">
        <v>158</v>
      </c>
      <c r="I74" s="178"/>
      <c r="J74" s="178"/>
      <c r="K74" s="178"/>
      <c r="L74" s="178"/>
      <c r="M74" s="179"/>
    </row>
    <row r="75" spans="2:14" x14ac:dyDescent="0.2">
      <c r="B75" s="177"/>
      <c r="C75" s="346" t="s">
        <v>195</v>
      </c>
      <c r="D75" s="210">
        <f>8000000*30%</f>
        <v>2400000</v>
      </c>
      <c r="E75" s="250">
        <f>+D23</f>
        <v>-2400000</v>
      </c>
      <c r="F75" s="106">
        <f>+D75+E75</f>
        <v>0</v>
      </c>
      <c r="G75" s="275">
        <v>8.0000000000000002E-3</v>
      </c>
      <c r="H75" s="218">
        <f>ROUND(F75*G75,0)+F75</f>
        <v>0</v>
      </c>
      <c r="I75" s="178"/>
      <c r="J75" s="178"/>
      <c r="K75" s="178"/>
      <c r="L75" s="178"/>
      <c r="M75" s="179"/>
    </row>
    <row r="76" spans="2:14" x14ac:dyDescent="0.2">
      <c r="B76" s="177"/>
      <c r="C76" s="312" t="s">
        <v>196</v>
      </c>
      <c r="D76" s="105">
        <f>8000000*70%</f>
        <v>5600000</v>
      </c>
      <c r="E76" s="252">
        <f>+D32</f>
        <v>-5422980</v>
      </c>
      <c r="F76" s="138">
        <f>+D76+E76</f>
        <v>177020</v>
      </c>
      <c r="G76" s="276">
        <v>2E-3</v>
      </c>
      <c r="H76" s="220">
        <f>ROUND(F76*G76,0)+F76</f>
        <v>177374</v>
      </c>
      <c r="I76" s="178"/>
      <c r="J76" s="178"/>
      <c r="K76" s="178"/>
      <c r="L76" s="178"/>
      <c r="M76" s="179"/>
    </row>
    <row r="77" spans="2:14" x14ac:dyDescent="0.2">
      <c r="B77" s="177"/>
      <c r="C77" s="112"/>
      <c r="D77" s="112"/>
      <c r="E77" s="178"/>
      <c r="F77" s="178"/>
      <c r="G77" s="112"/>
      <c r="H77" s="221">
        <f>SUM(H75:H76)</f>
        <v>177374</v>
      </c>
      <c r="I77" s="178"/>
      <c r="J77" s="178"/>
      <c r="K77" s="178"/>
      <c r="L77" s="178"/>
      <c r="M77" s="179"/>
    </row>
    <row r="78" spans="2:14" x14ac:dyDescent="0.2">
      <c r="B78" s="177"/>
      <c r="C78" s="112"/>
      <c r="D78" s="112"/>
      <c r="E78" s="112"/>
      <c r="F78" s="223"/>
      <c r="G78" s="222"/>
      <c r="H78" s="178"/>
      <c r="I78" s="178"/>
      <c r="J78" s="178"/>
      <c r="K78" s="178"/>
      <c r="L78" s="178"/>
      <c r="M78" s="179"/>
    </row>
    <row r="79" spans="2:14" x14ac:dyDescent="0.2">
      <c r="B79" s="177"/>
      <c r="C79" s="178"/>
      <c r="D79" s="178"/>
      <c r="E79" s="178"/>
      <c r="F79" s="277"/>
      <c r="G79" s="277"/>
      <c r="H79" s="277"/>
      <c r="I79" s="277"/>
      <c r="J79" s="277"/>
      <c r="K79" s="277"/>
      <c r="L79" s="277"/>
      <c r="M79" s="296"/>
      <c r="N79" s="162"/>
    </row>
    <row r="80" spans="2:14" x14ac:dyDescent="0.2">
      <c r="B80" s="177"/>
      <c r="C80" s="121" t="s">
        <v>161</v>
      </c>
      <c r="D80" s="347" t="s">
        <v>162</v>
      </c>
      <c r="E80" s="336"/>
      <c r="F80" s="278"/>
      <c r="G80" s="295" t="s">
        <v>211</v>
      </c>
      <c r="H80" s="278"/>
      <c r="I80" s="226">
        <f>+E14+E18</f>
        <v>7576000</v>
      </c>
      <c r="J80" s="279"/>
      <c r="K80" s="277">
        <v>2016</v>
      </c>
      <c r="L80" s="277"/>
      <c r="M80" s="296">
        <v>2017</v>
      </c>
      <c r="N80" s="162"/>
    </row>
    <row r="81" spans="2:14" x14ac:dyDescent="0.2">
      <c r="B81" s="177"/>
      <c r="C81" s="227" t="s">
        <v>163</v>
      </c>
      <c r="D81" s="280">
        <f>+I87</f>
        <v>43251000</v>
      </c>
      <c r="E81" s="281" t="s">
        <v>164</v>
      </c>
      <c r="F81" s="278"/>
      <c r="G81" s="282" t="s">
        <v>165</v>
      </c>
      <c r="H81" s="277"/>
      <c r="I81" s="226">
        <v>40000000</v>
      </c>
      <c r="J81" s="290">
        <v>2.9000000000000001E-2</v>
      </c>
      <c r="K81" s="226">
        <f>+I81*J81</f>
        <v>1160000</v>
      </c>
      <c r="L81" s="226">
        <f>+I81+K81</f>
        <v>41160000</v>
      </c>
      <c r="M81" s="297">
        <f>+L81*J81</f>
        <v>1193640</v>
      </c>
      <c r="N81" s="162"/>
    </row>
    <row r="82" spans="2:14" x14ac:dyDescent="0.2">
      <c r="B82" s="177"/>
      <c r="C82" s="409" t="s">
        <v>166</v>
      </c>
      <c r="D82" s="283"/>
      <c r="E82" s="415" t="s">
        <v>164</v>
      </c>
      <c r="F82" s="278"/>
      <c r="G82" s="282" t="s">
        <v>167</v>
      </c>
      <c r="H82" s="277"/>
      <c r="I82" s="226">
        <v>2000000</v>
      </c>
      <c r="J82" s="290"/>
      <c r="K82" s="226"/>
      <c r="L82" s="226"/>
      <c r="M82" s="297">
        <f>+L81+M81</f>
        <v>42353640</v>
      </c>
      <c r="N82" s="162"/>
    </row>
    <row r="83" spans="2:14" x14ac:dyDescent="0.2">
      <c r="B83" s="177"/>
      <c r="C83" s="409"/>
      <c r="D83" s="283">
        <f>+H76</f>
        <v>177374</v>
      </c>
      <c r="E83" s="415"/>
      <c r="F83" s="278"/>
      <c r="G83" s="282" t="s">
        <v>168</v>
      </c>
      <c r="H83" s="277"/>
      <c r="I83" s="226">
        <v>-8000000</v>
      </c>
      <c r="J83" s="290"/>
      <c r="K83" s="226"/>
      <c r="L83" s="226"/>
      <c r="M83" s="296"/>
      <c r="N83" s="162"/>
    </row>
    <row r="84" spans="2:14" x14ac:dyDescent="0.2">
      <c r="B84" s="177"/>
      <c r="C84" s="409"/>
      <c r="D84" s="283"/>
      <c r="E84" s="415"/>
      <c r="F84" s="278"/>
      <c r="G84" s="282" t="s">
        <v>169</v>
      </c>
      <c r="H84" s="277"/>
      <c r="I84" s="226">
        <f>+'Desarrollo Ejercicio n°4 A'!G23</f>
        <v>695400</v>
      </c>
      <c r="J84" s="226"/>
      <c r="K84" s="226"/>
      <c r="L84" s="226"/>
      <c r="M84" s="296"/>
      <c r="N84" s="162"/>
    </row>
    <row r="85" spans="2:14" x14ac:dyDescent="0.2">
      <c r="B85" s="177"/>
      <c r="C85" s="343" t="s">
        <v>170</v>
      </c>
      <c r="D85" s="283">
        <v>0</v>
      </c>
      <c r="E85" s="348" t="s">
        <v>171</v>
      </c>
      <c r="F85" s="277"/>
      <c r="G85" s="282" t="s">
        <v>172</v>
      </c>
      <c r="H85" s="277"/>
      <c r="I85" s="226">
        <f>-'Planteamiento Ejercicio n°4'!G61</f>
        <v>1129600</v>
      </c>
      <c r="J85" s="277"/>
      <c r="K85" s="277"/>
      <c r="L85" s="277"/>
      <c r="M85" s="296"/>
      <c r="N85" s="162"/>
    </row>
    <row r="86" spans="2:14" x14ac:dyDescent="0.2">
      <c r="B86" s="177"/>
      <c r="C86" s="395" t="s">
        <v>209</v>
      </c>
      <c r="D86" s="397">
        <f>-M82</f>
        <v>-42353640</v>
      </c>
      <c r="E86" s="411" t="s">
        <v>171</v>
      </c>
      <c r="F86" s="277"/>
      <c r="G86" s="282" t="s">
        <v>174</v>
      </c>
      <c r="H86" s="277"/>
      <c r="I86" s="231">
        <f>-'Desarrollo Ejercicio n°4 A'!F15</f>
        <v>-150000</v>
      </c>
      <c r="J86" s="277"/>
      <c r="K86" s="277"/>
      <c r="L86" s="277"/>
      <c r="M86" s="296"/>
      <c r="N86" s="162"/>
    </row>
    <row r="87" spans="2:14" x14ac:dyDescent="0.2">
      <c r="B87" s="177"/>
      <c r="C87" s="396"/>
      <c r="D87" s="398"/>
      <c r="E87" s="412"/>
      <c r="F87" s="284" t="s">
        <v>175</v>
      </c>
      <c r="G87" s="285" t="s">
        <v>176</v>
      </c>
      <c r="H87" s="277"/>
      <c r="I87" s="286">
        <f>SUM(I80:I86)</f>
        <v>43251000</v>
      </c>
      <c r="J87" s="277"/>
      <c r="K87" s="277"/>
      <c r="L87" s="277"/>
      <c r="M87" s="296"/>
      <c r="N87" s="162"/>
    </row>
    <row r="88" spans="2:14" x14ac:dyDescent="0.2">
      <c r="B88" s="177"/>
      <c r="C88" s="316" t="s">
        <v>197</v>
      </c>
      <c r="D88" s="238">
        <f>SUM(D81:D87)</f>
        <v>1074734</v>
      </c>
      <c r="E88" s="349" t="s">
        <v>178</v>
      </c>
      <c r="F88" s="298"/>
      <c r="G88" s="299"/>
      <c r="H88" s="298"/>
      <c r="I88" s="299"/>
      <c r="J88" s="298"/>
      <c r="K88" s="298"/>
      <c r="L88" s="298"/>
      <c r="M88" s="296"/>
      <c r="N88" s="162"/>
    </row>
    <row r="89" spans="2:14" ht="13.5" thickBot="1" x14ac:dyDescent="0.25">
      <c r="B89" s="183"/>
      <c r="C89" s="287"/>
      <c r="D89" s="287"/>
      <c r="E89" s="287"/>
      <c r="F89" s="366"/>
      <c r="G89" s="366"/>
      <c r="H89" s="366"/>
      <c r="I89" s="366"/>
      <c r="J89" s="366"/>
      <c r="K89" s="366"/>
      <c r="L89" s="366"/>
      <c r="M89" s="368"/>
      <c r="N89" s="162"/>
    </row>
    <row r="90" spans="2:14" x14ac:dyDescent="0.2">
      <c r="C90" s="185"/>
      <c r="D90" s="185"/>
      <c r="E90" s="185"/>
      <c r="F90" s="162"/>
      <c r="G90" s="162"/>
      <c r="H90" s="162"/>
      <c r="I90" s="162"/>
      <c r="J90" s="162"/>
      <c r="K90" s="162"/>
      <c r="L90" s="162"/>
      <c r="M90" s="162"/>
      <c r="N90" s="162"/>
    </row>
  </sheetData>
  <mergeCells count="15">
    <mergeCell ref="C86:C87"/>
    <mergeCell ref="D86:D87"/>
    <mergeCell ref="E86:E87"/>
    <mergeCell ref="K9:K12"/>
    <mergeCell ref="L9:L13"/>
    <mergeCell ref="I10:J10"/>
    <mergeCell ref="J11:J13"/>
    <mergeCell ref="C82:C84"/>
    <mergeCell ref="E82:E84"/>
    <mergeCell ref="C9:C10"/>
    <mergeCell ref="E9:E13"/>
    <mergeCell ref="F9:F13"/>
    <mergeCell ref="G9:G13"/>
    <mergeCell ref="H9:H13"/>
    <mergeCell ref="I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83"/>
  <sheetViews>
    <sheetView showGridLines="0" topLeftCell="A4" zoomScale="106" zoomScaleNormal="106" workbookViewId="0">
      <selection activeCell="J11" sqref="J11"/>
    </sheetView>
  </sheetViews>
  <sheetFormatPr baseColWidth="10" defaultColWidth="9.140625" defaultRowHeight="12.75" x14ac:dyDescent="0.2"/>
  <cols>
    <col min="1" max="1" width="9.140625" style="172"/>
    <col min="2" max="2" width="2.85546875" style="172" bestFit="1" customWidth="1"/>
    <col min="3" max="3" width="47" style="172" bestFit="1" customWidth="1"/>
    <col min="4" max="4" width="8.140625" style="172" bestFit="1" customWidth="1"/>
    <col min="5" max="5" width="12.42578125" style="172" bestFit="1" customWidth="1"/>
    <col min="6" max="6" width="11.28515625" style="172" bestFit="1" customWidth="1"/>
    <col min="7" max="8" width="9.140625" style="172"/>
    <col min="9" max="9" width="8" style="172" customWidth="1"/>
    <col min="10" max="10" width="10.85546875" style="172" bestFit="1" customWidth="1"/>
    <col min="11" max="11" width="6.7109375" style="172" bestFit="1" customWidth="1"/>
    <col min="12" max="12" width="9.85546875" style="172" bestFit="1" customWidth="1"/>
    <col min="13" max="13" width="12.140625" style="172" bestFit="1" customWidth="1"/>
    <col min="14" max="14" width="11.28515625" style="172" bestFit="1" customWidth="1"/>
    <col min="15" max="15" width="4.85546875" style="172" bestFit="1" customWidth="1"/>
    <col min="16" max="16" width="12.42578125" style="172" bestFit="1" customWidth="1"/>
    <col min="17" max="17" width="10.85546875" style="172" bestFit="1" customWidth="1"/>
    <col min="18" max="18" width="5.85546875" style="172" bestFit="1" customWidth="1"/>
    <col min="19" max="19" width="9.140625" style="172"/>
    <col min="20" max="20" width="11.28515625" style="172" bestFit="1" customWidth="1"/>
    <col min="21" max="16384" width="9.140625" style="172"/>
  </cols>
  <sheetData>
    <row r="1" spans="2:8" s="172" customFormat="1" ht="13.5" thickBot="1" x14ac:dyDescent="0.25"/>
    <row r="2" spans="2:8" s="172" customFormat="1" x14ac:dyDescent="0.2">
      <c r="B2" s="173"/>
      <c r="C2" s="5" t="s">
        <v>229</v>
      </c>
      <c r="D2" s="174"/>
      <c r="E2" s="174"/>
      <c r="F2" s="174"/>
      <c r="G2" s="176"/>
      <c r="H2" s="178"/>
    </row>
    <row r="3" spans="2:8" s="172" customFormat="1" x14ac:dyDescent="0.2">
      <c r="B3" s="177"/>
      <c r="C3" s="24" t="s">
        <v>231</v>
      </c>
      <c r="D3" s="178"/>
      <c r="E3" s="178"/>
      <c r="F3" s="178"/>
      <c r="G3" s="179"/>
      <c r="H3" s="178"/>
    </row>
    <row r="4" spans="2:8" s="172" customFormat="1" x14ac:dyDescent="0.2">
      <c r="B4" s="177"/>
      <c r="C4" s="24" t="s">
        <v>230</v>
      </c>
      <c r="D4" s="178"/>
      <c r="E4" s="178"/>
      <c r="F4" s="178"/>
      <c r="G4" s="179"/>
      <c r="H4" s="178"/>
    </row>
    <row r="5" spans="2:8" s="172" customFormat="1" x14ac:dyDescent="0.2">
      <c r="B5" s="177"/>
      <c r="C5" s="24"/>
      <c r="D5" s="178"/>
      <c r="E5" s="178"/>
      <c r="F5" s="178"/>
      <c r="G5" s="179"/>
      <c r="H5" s="178"/>
    </row>
    <row r="6" spans="2:8" s="172" customFormat="1" x14ac:dyDescent="0.2">
      <c r="B6" s="177"/>
      <c r="C6" s="180" t="s">
        <v>41</v>
      </c>
      <c r="D6" s="178"/>
      <c r="E6" s="178"/>
      <c r="F6" s="178"/>
      <c r="G6" s="179"/>
      <c r="H6" s="178"/>
    </row>
    <row r="7" spans="2:8" s="172" customFormat="1" x14ac:dyDescent="0.2">
      <c r="B7" s="177"/>
      <c r="C7" s="178"/>
      <c r="D7" s="178"/>
      <c r="E7" s="178"/>
      <c r="F7" s="178"/>
      <c r="G7" s="179"/>
      <c r="H7" s="178"/>
    </row>
    <row r="8" spans="2:8" s="172" customFormat="1" x14ac:dyDescent="0.2">
      <c r="B8" s="62" t="s">
        <v>42</v>
      </c>
      <c r="C8" s="180" t="s">
        <v>43</v>
      </c>
      <c r="D8" s="178"/>
      <c r="E8" s="178"/>
      <c r="F8" s="178"/>
      <c r="G8" s="179"/>
      <c r="H8" s="178"/>
    </row>
    <row r="9" spans="2:8" s="172" customFormat="1" x14ac:dyDescent="0.2">
      <c r="B9" s="177"/>
      <c r="C9" s="20" t="s">
        <v>18</v>
      </c>
      <c r="D9" s="24"/>
      <c r="E9" s="24"/>
      <c r="F9" s="63">
        <v>5500000</v>
      </c>
      <c r="G9" s="64"/>
      <c r="H9" s="178"/>
    </row>
    <row r="10" spans="2:8" s="172" customFormat="1" x14ac:dyDescent="0.2">
      <c r="B10" s="62"/>
      <c r="C10" s="25" t="s">
        <v>107</v>
      </c>
      <c r="D10" s="24"/>
      <c r="E10" s="24"/>
      <c r="F10" s="24"/>
      <c r="G10" s="65"/>
      <c r="H10" s="178"/>
    </row>
    <row r="11" spans="2:8" s="172" customFormat="1" x14ac:dyDescent="0.2">
      <c r="B11" s="62"/>
      <c r="C11" s="24" t="s">
        <v>21</v>
      </c>
      <c r="D11" s="24"/>
      <c r="E11" s="63">
        <f>15000000*3%</f>
        <v>450000</v>
      </c>
      <c r="F11" s="24"/>
      <c r="G11" s="64"/>
      <c r="H11" s="178"/>
    </row>
    <row r="12" spans="2:8" s="172" customFormat="1" x14ac:dyDescent="0.2">
      <c r="B12" s="62"/>
      <c r="C12" s="24" t="s">
        <v>22</v>
      </c>
      <c r="D12" s="24"/>
      <c r="E12" s="63">
        <v>300000</v>
      </c>
      <c r="F12" s="24"/>
      <c r="G12" s="64"/>
      <c r="H12" s="178"/>
    </row>
    <row r="13" spans="2:8" s="172" customFormat="1" x14ac:dyDescent="0.2">
      <c r="B13" s="62"/>
      <c r="C13" s="24" t="s">
        <v>23</v>
      </c>
      <c r="D13" s="24"/>
      <c r="E13" s="63">
        <v>650000</v>
      </c>
      <c r="F13" s="24"/>
      <c r="G13" s="64"/>
      <c r="H13" s="178"/>
    </row>
    <row r="14" spans="2:8" s="172" customFormat="1" x14ac:dyDescent="0.2">
      <c r="B14" s="62"/>
      <c r="C14" s="24" t="s">
        <v>24</v>
      </c>
      <c r="D14" s="24"/>
      <c r="E14" s="63">
        <v>1875000</v>
      </c>
      <c r="F14" s="24"/>
      <c r="G14" s="64"/>
      <c r="H14" s="178"/>
    </row>
    <row r="15" spans="2:8" s="172" customFormat="1" x14ac:dyDescent="0.2">
      <c r="B15" s="62"/>
      <c r="C15" s="24" t="s">
        <v>25</v>
      </c>
      <c r="D15" s="24"/>
      <c r="E15" s="63">
        <v>1250000</v>
      </c>
      <c r="F15" s="24"/>
      <c r="G15" s="64"/>
      <c r="H15" s="178"/>
    </row>
    <row r="16" spans="2:8" s="172" customFormat="1" x14ac:dyDescent="0.2">
      <c r="B16" s="62"/>
      <c r="C16" s="24" t="s">
        <v>26</v>
      </c>
      <c r="D16" s="24"/>
      <c r="E16" s="63">
        <v>150000</v>
      </c>
      <c r="F16" s="63">
        <f>SUM(E11:E16)</f>
        <v>4675000</v>
      </c>
      <c r="G16" s="64"/>
      <c r="H16" s="178"/>
    </row>
    <row r="17" spans="2:12" s="172" customFormat="1" x14ac:dyDescent="0.2">
      <c r="B17" s="62"/>
      <c r="C17" s="178"/>
      <c r="D17" s="178"/>
      <c r="E17" s="178"/>
      <c r="F17" s="24"/>
      <c r="G17" s="64"/>
      <c r="H17" s="178"/>
    </row>
    <row r="18" spans="2:12" s="172" customFormat="1" x14ac:dyDescent="0.2">
      <c r="B18" s="62"/>
      <c r="C18" s="25" t="s">
        <v>108</v>
      </c>
      <c r="D18" s="24"/>
      <c r="E18" s="63"/>
      <c r="F18" s="24"/>
      <c r="G18" s="64"/>
      <c r="H18" s="178"/>
      <c r="J18" s="417" t="s">
        <v>94</v>
      </c>
      <c r="K18" s="417" t="s">
        <v>91</v>
      </c>
      <c r="L18" s="417" t="s">
        <v>95</v>
      </c>
    </row>
    <row r="19" spans="2:12" s="172" customFormat="1" x14ac:dyDescent="0.2">
      <c r="B19" s="62"/>
      <c r="C19" s="31" t="s">
        <v>29</v>
      </c>
      <c r="D19" s="24"/>
      <c r="E19" s="66">
        <f>-L22</f>
        <v>-1422000</v>
      </c>
      <c r="F19" s="24"/>
      <c r="G19" s="64"/>
      <c r="H19" s="178"/>
      <c r="J19" s="63">
        <v>50000000</v>
      </c>
      <c r="K19" s="308">
        <v>2.9000000000000001E-2</v>
      </c>
      <c r="L19" s="63">
        <f>+J19*K19</f>
        <v>1450000</v>
      </c>
    </row>
    <row r="20" spans="2:12" s="172" customFormat="1" x14ac:dyDescent="0.2">
      <c r="B20" s="62"/>
      <c r="C20" s="31" t="s">
        <v>30</v>
      </c>
      <c r="D20" s="24"/>
      <c r="E20" s="66">
        <f>+'Planteamiento Ejercicio n°1'!G46</f>
        <v>-5100000</v>
      </c>
      <c r="F20" s="24"/>
      <c r="G20" s="64"/>
      <c r="H20" s="178"/>
      <c r="J20" s="63">
        <v>-3000000</v>
      </c>
      <c r="K20" s="308">
        <v>8.0000000000000002E-3</v>
      </c>
      <c r="L20" s="63">
        <f t="shared" ref="L20:L21" si="0">+J20*K20</f>
        <v>-24000</v>
      </c>
    </row>
    <row r="21" spans="2:12" s="172" customFormat="1" x14ac:dyDescent="0.2">
      <c r="B21" s="62"/>
      <c r="C21" s="31" t="s">
        <v>44</v>
      </c>
      <c r="D21" s="24"/>
      <c r="E21" s="66">
        <v>-2000000</v>
      </c>
      <c r="F21" s="24"/>
      <c r="G21" s="64"/>
      <c r="H21" s="178"/>
      <c r="J21" s="63">
        <v>-2000000</v>
      </c>
      <c r="K21" s="308">
        <v>2E-3</v>
      </c>
      <c r="L21" s="63">
        <f t="shared" si="0"/>
        <v>-4000</v>
      </c>
    </row>
    <row r="22" spans="2:12" s="172" customFormat="1" x14ac:dyDescent="0.2">
      <c r="B22" s="62"/>
      <c r="C22" s="31" t="str">
        <f>+C15</f>
        <v>Gastos por arriendo de Automóviles (Actualizados)</v>
      </c>
      <c r="D22" s="24"/>
      <c r="E22" s="66">
        <f>-E15</f>
        <v>-1250000</v>
      </c>
      <c r="F22" s="66">
        <f>SUM(E19:E22)</f>
        <v>-9772000</v>
      </c>
      <c r="G22" s="64"/>
      <c r="H22" s="178"/>
      <c r="J22" s="63"/>
      <c r="L22" s="35">
        <f>SUM(L19:L21)</f>
        <v>1422000</v>
      </c>
    </row>
    <row r="23" spans="2:12" s="172" customFormat="1" x14ac:dyDescent="0.2">
      <c r="B23" s="62"/>
      <c r="C23" s="31"/>
      <c r="D23" s="24"/>
      <c r="E23" s="63"/>
      <c r="F23" s="24"/>
      <c r="G23" s="64"/>
      <c r="H23" s="178"/>
    </row>
    <row r="24" spans="2:12" s="172" customFormat="1" x14ac:dyDescent="0.2">
      <c r="B24" s="62"/>
      <c r="C24" s="67" t="s">
        <v>45</v>
      </c>
      <c r="D24" s="68"/>
      <c r="E24" s="69"/>
      <c r="F24" s="69">
        <f>SUM(F9:F22)</f>
        <v>403000</v>
      </c>
      <c r="G24" s="64"/>
      <c r="H24" s="178"/>
    </row>
    <row r="25" spans="2:12" s="172" customFormat="1" x14ac:dyDescent="0.2">
      <c r="B25" s="62"/>
      <c r="C25" s="25"/>
      <c r="D25" s="20"/>
      <c r="E25" s="35"/>
      <c r="F25" s="35"/>
      <c r="G25" s="64"/>
      <c r="H25" s="178"/>
    </row>
    <row r="26" spans="2:12" s="172" customFormat="1" x14ac:dyDescent="0.2">
      <c r="B26" s="62"/>
      <c r="C26" s="31" t="s">
        <v>46</v>
      </c>
      <c r="D26" s="24"/>
      <c r="E26" s="63">
        <v>2000000</v>
      </c>
      <c r="F26" s="35"/>
      <c r="G26" s="64"/>
      <c r="H26" s="178"/>
    </row>
    <row r="27" spans="2:12" s="172" customFormat="1" x14ac:dyDescent="0.2">
      <c r="B27" s="62"/>
      <c r="C27" s="24" t="s">
        <v>47</v>
      </c>
      <c r="D27" s="24"/>
      <c r="E27" s="63">
        <v>684562</v>
      </c>
      <c r="F27" s="35">
        <f>SUM(E26:E27)</f>
        <v>2684562</v>
      </c>
      <c r="G27" s="64"/>
      <c r="H27" s="178"/>
    </row>
    <row r="28" spans="2:12" s="172" customFormat="1" x14ac:dyDescent="0.2">
      <c r="B28" s="62"/>
      <c r="C28" s="178"/>
      <c r="D28" s="178"/>
      <c r="E28" s="178"/>
      <c r="F28" s="178"/>
      <c r="G28" s="64"/>
      <c r="H28" s="178"/>
    </row>
    <row r="29" spans="2:12" s="172" customFormat="1" x14ac:dyDescent="0.2">
      <c r="B29" s="62"/>
      <c r="C29" s="67" t="s">
        <v>48</v>
      </c>
      <c r="D29" s="68"/>
      <c r="E29" s="69"/>
      <c r="F29" s="69">
        <f>SUM(F24:F27)</f>
        <v>3087562</v>
      </c>
      <c r="G29" s="64"/>
      <c r="H29" s="178"/>
    </row>
    <row r="30" spans="2:12" s="172" customFormat="1" x14ac:dyDescent="0.2">
      <c r="B30" s="62"/>
      <c r="C30" s="25"/>
      <c r="D30" s="20"/>
      <c r="E30" s="35"/>
      <c r="F30" s="35"/>
      <c r="G30" s="64"/>
      <c r="H30" s="178"/>
    </row>
    <row r="31" spans="2:12" s="172" customFormat="1" x14ac:dyDescent="0.2">
      <c r="B31" s="62"/>
      <c r="C31" s="25" t="s">
        <v>49</v>
      </c>
      <c r="D31" s="70">
        <v>0.25</v>
      </c>
      <c r="E31" s="35"/>
      <c r="F31" s="35">
        <f>ROUND(F29*D31,0)</f>
        <v>771891</v>
      </c>
      <c r="G31" s="64"/>
      <c r="H31" s="178"/>
    </row>
    <row r="32" spans="2:12" s="172" customFormat="1" x14ac:dyDescent="0.2">
      <c r="B32" s="62"/>
      <c r="C32" s="31"/>
      <c r="D32" s="24"/>
      <c r="E32" s="24"/>
      <c r="F32" s="63"/>
      <c r="G32" s="64"/>
      <c r="H32" s="178"/>
    </row>
    <row r="33" spans="2:8" s="172" customFormat="1" x14ac:dyDescent="0.2">
      <c r="B33" s="62"/>
      <c r="C33" s="31" t="s">
        <v>50</v>
      </c>
      <c r="D33" s="63">
        <f>(+E26+E27)*25.5%</f>
        <v>684563.31</v>
      </c>
      <c r="E33" s="24"/>
      <c r="F33" s="63"/>
      <c r="G33" s="64"/>
      <c r="H33" s="178"/>
    </row>
    <row r="34" spans="2:8" s="172" customFormat="1" x14ac:dyDescent="0.2">
      <c r="B34" s="62"/>
      <c r="C34" s="31" t="s">
        <v>51</v>
      </c>
      <c r="D34" s="63">
        <f>+D33*65%</f>
        <v>444966.15150000004</v>
      </c>
      <c r="E34" s="24"/>
      <c r="F34" s="66">
        <f>-D34</f>
        <v>-444966.15150000004</v>
      </c>
      <c r="G34" s="64"/>
      <c r="H34" s="178"/>
    </row>
    <row r="35" spans="2:8" s="172" customFormat="1" x14ac:dyDescent="0.2">
      <c r="B35" s="62"/>
      <c r="C35" s="31"/>
      <c r="D35" s="24"/>
      <c r="E35" s="24"/>
      <c r="F35" s="24"/>
      <c r="G35" s="64"/>
      <c r="H35" s="178"/>
    </row>
    <row r="36" spans="2:8" s="172" customFormat="1" x14ac:dyDescent="0.2">
      <c r="B36" s="62"/>
      <c r="C36" s="67" t="s">
        <v>96</v>
      </c>
      <c r="D36" s="68"/>
      <c r="E36" s="68"/>
      <c r="F36" s="69">
        <f>SUM(F31:F34)</f>
        <v>326924.84849999996</v>
      </c>
      <c r="G36" s="64"/>
      <c r="H36" s="178"/>
    </row>
    <row r="37" spans="2:8" s="172" customFormat="1" x14ac:dyDescent="0.2">
      <c r="B37" s="62"/>
      <c r="C37" s="31"/>
      <c r="D37" s="24"/>
      <c r="E37" s="24"/>
      <c r="F37" s="24"/>
      <c r="G37" s="64"/>
      <c r="H37" s="178"/>
    </row>
    <row r="38" spans="2:8" s="172" customFormat="1" x14ac:dyDescent="0.2">
      <c r="B38" s="62"/>
      <c r="C38" s="25" t="s">
        <v>52</v>
      </c>
      <c r="D38" s="20"/>
      <c r="E38" s="35"/>
      <c r="F38" s="35">
        <f>SUM(F31:F34)</f>
        <v>326924.84849999996</v>
      </c>
      <c r="G38" s="64"/>
      <c r="H38" s="178"/>
    </row>
    <row r="39" spans="2:8" s="172" customFormat="1" x14ac:dyDescent="0.2">
      <c r="B39" s="62"/>
      <c r="C39" s="25" t="s">
        <v>53</v>
      </c>
      <c r="D39" s="71">
        <v>0.4</v>
      </c>
      <c r="E39" s="35"/>
      <c r="F39" s="35">
        <f>-ROUND(E22*D39,0)</f>
        <v>500000</v>
      </c>
      <c r="G39" s="64"/>
      <c r="H39" s="178"/>
    </row>
    <row r="40" spans="2:8" s="172" customFormat="1" x14ac:dyDescent="0.2">
      <c r="B40" s="62"/>
      <c r="C40" s="25"/>
      <c r="D40" s="20"/>
      <c r="E40" s="35"/>
      <c r="F40" s="35"/>
      <c r="G40" s="64"/>
      <c r="H40" s="178"/>
    </row>
    <row r="41" spans="2:8" s="172" customFormat="1" ht="13.5" thickBot="1" x14ac:dyDescent="0.25">
      <c r="B41" s="72"/>
      <c r="C41" s="73" t="s">
        <v>54</v>
      </c>
      <c r="D41" s="74"/>
      <c r="E41" s="75"/>
      <c r="F41" s="75">
        <f>SUM(F38:F39)</f>
        <v>826924.84849999996</v>
      </c>
      <c r="G41" s="76"/>
      <c r="H41" s="178"/>
    </row>
    <row r="42" spans="2:8" s="172" customFormat="1" x14ac:dyDescent="0.2">
      <c r="B42" s="22"/>
      <c r="C42" s="25"/>
      <c r="D42" s="71"/>
      <c r="E42" s="35"/>
      <c r="F42" s="35"/>
      <c r="G42" s="24"/>
      <c r="H42" s="178"/>
    </row>
    <row r="43" spans="2:8" s="172" customFormat="1" x14ac:dyDescent="0.2">
      <c r="H43" s="178"/>
    </row>
    <row r="44" spans="2:8" s="172" customFormat="1" x14ac:dyDescent="0.2">
      <c r="H44" s="178"/>
    </row>
    <row r="45" spans="2:8" s="172" customFormat="1" x14ac:dyDescent="0.2">
      <c r="H45" s="178"/>
    </row>
    <row r="46" spans="2:8" s="172" customFormat="1" x14ac:dyDescent="0.2">
      <c r="H46" s="178"/>
    </row>
    <row r="47" spans="2:8" s="172" customFormat="1" x14ac:dyDescent="0.2">
      <c r="H47" s="24"/>
    </row>
    <row r="48" spans="2:8" s="172" customFormat="1" x14ac:dyDescent="0.2">
      <c r="H48" s="77"/>
    </row>
    <row r="49" spans="8:20" s="172" customFormat="1" x14ac:dyDescent="0.2">
      <c r="H49" s="24"/>
    </row>
    <row r="50" spans="8:20" s="172" customFormat="1" x14ac:dyDescent="0.2">
      <c r="H50" s="24"/>
    </row>
    <row r="51" spans="8:20" s="172" customFormat="1" x14ac:dyDescent="0.2">
      <c r="H51" s="24"/>
    </row>
    <row r="52" spans="8:20" s="172" customFormat="1" x14ac:dyDescent="0.2">
      <c r="H52" s="24"/>
    </row>
    <row r="53" spans="8:20" s="172" customFormat="1" x14ac:dyDescent="0.2">
      <c r="H53" s="24"/>
    </row>
    <row r="54" spans="8:20" s="172" customFormat="1" x14ac:dyDescent="0.2">
      <c r="H54" s="24"/>
    </row>
    <row r="55" spans="8:20" s="172" customFormat="1" x14ac:dyDescent="0.2">
      <c r="H55" s="24"/>
    </row>
    <row r="56" spans="8:20" s="172" customFormat="1" x14ac:dyDescent="0.2">
      <c r="H56" s="24"/>
    </row>
    <row r="57" spans="8:20" s="172" customFormat="1" x14ac:dyDescent="0.2">
      <c r="H57" s="24"/>
      <c r="T57" s="181"/>
    </row>
    <row r="58" spans="8:20" s="172" customFormat="1" x14ac:dyDescent="0.2">
      <c r="H58" s="24"/>
    </row>
    <row r="59" spans="8:20" s="172" customFormat="1" x14ac:dyDescent="0.2">
      <c r="H59" s="24"/>
    </row>
    <row r="60" spans="8:20" s="172" customFormat="1" x14ac:dyDescent="0.2">
      <c r="H60" s="24"/>
    </row>
    <row r="61" spans="8:20" s="172" customFormat="1" x14ac:dyDescent="0.2">
      <c r="H61" s="24"/>
    </row>
    <row r="62" spans="8:20" s="172" customFormat="1" x14ac:dyDescent="0.2">
      <c r="H62" s="24"/>
    </row>
    <row r="63" spans="8:20" s="172" customFormat="1" x14ac:dyDescent="0.2">
      <c r="H63" s="24"/>
    </row>
    <row r="64" spans="8:20" s="172" customFormat="1" x14ac:dyDescent="0.2">
      <c r="H64" s="24"/>
    </row>
    <row r="65" spans="2:8" s="172" customFormat="1" x14ac:dyDescent="0.2">
      <c r="H65" s="24"/>
    </row>
    <row r="66" spans="2:8" s="172" customFormat="1" x14ac:dyDescent="0.2">
      <c r="H66" s="24"/>
    </row>
    <row r="67" spans="2:8" s="172" customFormat="1" x14ac:dyDescent="0.2">
      <c r="H67" s="24"/>
    </row>
    <row r="68" spans="2:8" s="172" customFormat="1" x14ac:dyDescent="0.2">
      <c r="H68" s="24"/>
    </row>
    <row r="69" spans="2:8" s="172" customFormat="1" x14ac:dyDescent="0.2">
      <c r="H69" s="24"/>
    </row>
    <row r="70" spans="2:8" s="172" customFormat="1" x14ac:dyDescent="0.2">
      <c r="H70" s="24"/>
    </row>
    <row r="71" spans="2:8" s="172" customFormat="1" x14ac:dyDescent="0.2">
      <c r="H71" s="24"/>
    </row>
    <row r="72" spans="2:8" s="172" customFormat="1" x14ac:dyDescent="0.2">
      <c r="H72" s="24"/>
    </row>
    <row r="73" spans="2:8" s="172" customFormat="1" x14ac:dyDescent="0.2">
      <c r="H73" s="24"/>
    </row>
    <row r="74" spans="2:8" s="172" customFormat="1" x14ac:dyDescent="0.2">
      <c r="H74" s="24"/>
    </row>
    <row r="75" spans="2:8" s="172" customFormat="1" x14ac:dyDescent="0.2">
      <c r="H75" s="24"/>
    </row>
    <row r="76" spans="2:8" s="172" customFormat="1" x14ac:dyDescent="0.2">
      <c r="H76" s="24"/>
    </row>
    <row r="77" spans="2:8" s="172" customFormat="1" x14ac:dyDescent="0.2">
      <c r="B77" s="78"/>
      <c r="G77" s="79"/>
      <c r="H77" s="79"/>
    </row>
    <row r="78" spans="2:8" s="172" customFormat="1" x14ac:dyDescent="0.2">
      <c r="B78" s="78"/>
      <c r="G78" s="79"/>
      <c r="H78" s="79"/>
    </row>
    <row r="79" spans="2:8" s="172" customFormat="1" x14ac:dyDescent="0.2">
      <c r="B79" s="78"/>
      <c r="G79" s="79"/>
      <c r="H79" s="79"/>
    </row>
    <row r="80" spans="2:8" s="172" customFormat="1" x14ac:dyDescent="0.2">
      <c r="B80" s="78"/>
      <c r="G80" s="79"/>
      <c r="H80" s="79"/>
    </row>
    <row r="81" spans="2:8" s="172" customFormat="1" x14ac:dyDescent="0.2">
      <c r="B81" s="78"/>
      <c r="G81" s="79"/>
      <c r="H81" s="79"/>
    </row>
    <row r="82" spans="2:8" s="172" customFormat="1" x14ac:dyDescent="0.2">
      <c r="B82" s="78"/>
      <c r="G82" s="79"/>
      <c r="H82" s="79"/>
    </row>
    <row r="83" spans="2:8" s="172" customFormat="1" x14ac:dyDescent="0.2">
      <c r="B83" s="78"/>
      <c r="G83" s="79"/>
      <c r="H83" s="79"/>
    </row>
  </sheetData>
  <printOptions horizontalCentered="1"/>
  <pageMargins left="0.19685039370078741" right="0.19685039370078741" top="0.59055118110236227" bottom="0.19685039370078741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49"/>
  <sheetViews>
    <sheetView showGridLines="0" topLeftCell="A31" zoomScale="106" zoomScaleNormal="106" workbookViewId="0">
      <selection activeCell="G24" sqref="G24"/>
    </sheetView>
  </sheetViews>
  <sheetFormatPr baseColWidth="10" defaultColWidth="9.140625" defaultRowHeight="12.75" x14ac:dyDescent="0.2"/>
  <cols>
    <col min="1" max="2" width="9.140625" style="54"/>
    <col min="3" max="3" width="51.42578125" style="54" bestFit="1" customWidth="1"/>
    <col min="4" max="4" width="12.42578125" style="54" customWidth="1"/>
    <col min="5" max="7" width="11.28515625" style="54" bestFit="1" customWidth="1"/>
    <col min="8" max="8" width="9.28515625" style="54" bestFit="1" customWidth="1"/>
    <col min="9" max="9" width="12.7109375" style="54" customWidth="1"/>
    <col min="10" max="10" width="12.140625" style="54" customWidth="1"/>
    <col min="11" max="11" width="9.28515625" style="54" bestFit="1" customWidth="1"/>
    <col min="12" max="16384" width="9.140625" style="54"/>
  </cols>
  <sheetData>
    <row r="1" spans="2:12" ht="13.5" thickBot="1" x14ac:dyDescent="0.25"/>
    <row r="2" spans="2:12" x14ac:dyDescent="0.2">
      <c r="B2" s="55"/>
      <c r="C2" s="5" t="s">
        <v>229</v>
      </c>
      <c r="D2" s="56"/>
      <c r="E2" s="56"/>
      <c r="F2" s="56"/>
      <c r="G2" s="56"/>
      <c r="H2" s="56"/>
      <c r="I2" s="56"/>
      <c r="J2" s="56"/>
      <c r="K2" s="56"/>
      <c r="L2" s="57"/>
    </row>
    <row r="3" spans="2:12" x14ac:dyDescent="0.2">
      <c r="B3" s="59"/>
      <c r="C3" s="10" t="s">
        <v>231</v>
      </c>
      <c r="D3" s="58"/>
      <c r="E3" s="58"/>
      <c r="F3" s="58"/>
      <c r="G3" s="58"/>
      <c r="H3" s="58"/>
      <c r="I3" s="58"/>
      <c r="J3" s="58"/>
      <c r="K3" s="58"/>
      <c r="L3" s="60"/>
    </row>
    <row r="4" spans="2:12" x14ac:dyDescent="0.2">
      <c r="B4" s="59"/>
      <c r="C4" s="10" t="s">
        <v>230</v>
      </c>
      <c r="D4" s="58"/>
      <c r="E4" s="58"/>
      <c r="F4" s="58"/>
      <c r="G4" s="58"/>
      <c r="H4" s="58"/>
      <c r="I4" s="58"/>
      <c r="J4" s="58"/>
      <c r="K4" s="58"/>
      <c r="L4" s="60"/>
    </row>
    <row r="5" spans="2:12" x14ac:dyDescent="0.2">
      <c r="B5" s="59"/>
      <c r="C5" s="58"/>
      <c r="D5" s="58"/>
      <c r="E5" s="58"/>
      <c r="F5" s="58"/>
      <c r="G5" s="58"/>
      <c r="H5" s="58"/>
      <c r="I5" s="58"/>
      <c r="J5" s="58"/>
      <c r="K5" s="58"/>
      <c r="L5" s="60"/>
    </row>
    <row r="6" spans="2:12" x14ac:dyDescent="0.2">
      <c r="B6" s="59"/>
      <c r="C6" s="61" t="s">
        <v>41</v>
      </c>
      <c r="D6" s="58"/>
      <c r="E6" s="58"/>
      <c r="F6" s="58"/>
      <c r="G6" s="58"/>
      <c r="H6" s="58"/>
      <c r="I6" s="58"/>
      <c r="J6" s="58"/>
      <c r="K6" s="58"/>
      <c r="L6" s="60"/>
    </row>
    <row r="7" spans="2:12" x14ac:dyDescent="0.2">
      <c r="B7" s="59"/>
      <c r="C7" s="58"/>
      <c r="D7" s="58"/>
      <c r="E7" s="58"/>
      <c r="F7" s="58"/>
      <c r="G7" s="58"/>
      <c r="H7" s="58"/>
      <c r="I7" s="58"/>
      <c r="J7" s="58"/>
      <c r="K7" s="58"/>
      <c r="L7" s="60"/>
    </row>
    <row r="8" spans="2:12" x14ac:dyDescent="0.2">
      <c r="B8" s="59"/>
      <c r="C8" s="61" t="s">
        <v>55</v>
      </c>
      <c r="D8" s="58"/>
      <c r="E8" s="58"/>
      <c r="F8" s="58"/>
      <c r="G8" s="58"/>
      <c r="H8" s="58"/>
      <c r="I8" s="58"/>
      <c r="J8" s="58"/>
      <c r="K8" s="58"/>
      <c r="L8" s="60"/>
    </row>
    <row r="9" spans="2:12" x14ac:dyDescent="0.2">
      <c r="B9" s="59"/>
      <c r="C9" s="386" t="s">
        <v>56</v>
      </c>
      <c r="D9" s="80"/>
      <c r="E9" s="388" t="s">
        <v>57</v>
      </c>
      <c r="F9" s="389" t="s">
        <v>58</v>
      </c>
      <c r="G9" s="390" t="s">
        <v>59</v>
      </c>
      <c r="H9" s="388" t="s">
        <v>60</v>
      </c>
      <c r="I9" s="390" t="s">
        <v>61</v>
      </c>
      <c r="J9" s="390"/>
      <c r="K9" s="384" t="s">
        <v>62</v>
      </c>
      <c r="L9" s="60"/>
    </row>
    <row r="10" spans="2:12" ht="25.5" x14ac:dyDescent="0.2">
      <c r="B10" s="81"/>
      <c r="C10" s="387"/>
      <c r="D10" s="82"/>
      <c r="E10" s="388"/>
      <c r="F10" s="389"/>
      <c r="G10" s="390"/>
      <c r="H10" s="389"/>
      <c r="I10" s="83" t="s">
        <v>63</v>
      </c>
      <c r="J10" s="83" t="s">
        <v>64</v>
      </c>
      <c r="K10" s="385"/>
      <c r="L10" s="60"/>
    </row>
    <row r="11" spans="2:12" x14ac:dyDescent="0.2">
      <c r="B11" s="84"/>
      <c r="C11" s="85" t="s">
        <v>65</v>
      </c>
      <c r="D11" s="86"/>
      <c r="E11" s="87">
        <f>SUM(F11:H11)</f>
        <v>0</v>
      </c>
      <c r="F11" s="88">
        <v>0</v>
      </c>
      <c r="G11" s="89">
        <v>0</v>
      </c>
      <c r="H11" s="88">
        <v>0</v>
      </c>
      <c r="I11" s="89">
        <v>0</v>
      </c>
      <c r="J11" s="89">
        <v>0</v>
      </c>
      <c r="K11" s="87">
        <v>0</v>
      </c>
      <c r="L11" s="60"/>
    </row>
    <row r="12" spans="2:12" x14ac:dyDescent="0.2">
      <c r="B12" s="81"/>
      <c r="C12" s="90" t="s">
        <v>66</v>
      </c>
      <c r="D12" s="91"/>
      <c r="E12" s="92"/>
      <c r="F12" s="93"/>
      <c r="G12" s="94"/>
      <c r="H12" s="93"/>
      <c r="I12" s="95"/>
      <c r="J12" s="96"/>
      <c r="K12" s="97"/>
      <c r="L12" s="98"/>
    </row>
    <row r="13" spans="2:12" x14ac:dyDescent="0.2">
      <c r="B13" s="81"/>
      <c r="C13" s="99" t="s">
        <v>48</v>
      </c>
      <c r="D13" s="100"/>
      <c r="E13" s="101">
        <f>SUM(F13:H13)</f>
        <v>3087562</v>
      </c>
      <c r="F13" s="102">
        <f>+'Desarrollo Ejercicio n°1 A'!F29</f>
        <v>3087562</v>
      </c>
      <c r="G13" s="96"/>
      <c r="H13" s="102"/>
      <c r="I13" s="96"/>
      <c r="J13" s="96"/>
      <c r="K13" s="101"/>
      <c r="L13" s="60"/>
    </row>
    <row r="14" spans="2:12" x14ac:dyDescent="0.2">
      <c r="B14" s="81"/>
      <c r="C14" s="99" t="s">
        <v>67</v>
      </c>
      <c r="D14" s="100"/>
      <c r="E14" s="101">
        <f>SUM(F14:H14)</f>
        <v>3570000</v>
      </c>
      <c r="F14" s="102"/>
      <c r="G14" s="96">
        <f>+F40</f>
        <v>3570000</v>
      </c>
      <c r="H14" s="102"/>
      <c r="I14" s="96"/>
      <c r="J14" s="96"/>
      <c r="K14" s="101"/>
      <c r="L14" s="60"/>
    </row>
    <row r="15" spans="2:12" x14ac:dyDescent="0.2">
      <c r="B15" s="81"/>
      <c r="C15" s="90" t="s">
        <v>68</v>
      </c>
      <c r="D15" s="91"/>
      <c r="E15" s="101"/>
      <c r="F15" s="93"/>
      <c r="G15" s="96"/>
      <c r="H15" s="102"/>
      <c r="I15" s="96"/>
      <c r="J15" s="96"/>
      <c r="K15" s="101"/>
      <c r="L15" s="60"/>
    </row>
    <row r="16" spans="2:12" x14ac:dyDescent="0.2">
      <c r="B16" s="81"/>
      <c r="C16" s="103" t="s">
        <v>26</v>
      </c>
      <c r="D16" s="104"/>
      <c r="E16" s="105">
        <f>SUM(F16:H16)</f>
        <v>-150000</v>
      </c>
      <c r="F16" s="102">
        <f>-'Desarrollo Ejercicio n°1 A'!E16</f>
        <v>-150000</v>
      </c>
      <c r="G16" s="96"/>
      <c r="H16" s="102"/>
      <c r="I16" s="96"/>
      <c r="J16" s="96"/>
      <c r="K16" s="101"/>
      <c r="L16" s="60"/>
    </row>
    <row r="17" spans="2:12" x14ac:dyDescent="0.2">
      <c r="B17" s="81"/>
      <c r="C17" s="85" t="s">
        <v>69</v>
      </c>
      <c r="D17" s="86"/>
      <c r="E17" s="87">
        <f t="shared" ref="E17:K17" si="0">SUM(E13:E16)</f>
        <v>6507562</v>
      </c>
      <c r="F17" s="88">
        <f t="shared" si="0"/>
        <v>2937562</v>
      </c>
      <c r="G17" s="89">
        <f t="shared" si="0"/>
        <v>3570000</v>
      </c>
      <c r="H17" s="88">
        <f t="shared" si="0"/>
        <v>0</v>
      </c>
      <c r="I17" s="89">
        <f t="shared" si="0"/>
        <v>0</v>
      </c>
      <c r="J17" s="89">
        <f t="shared" si="0"/>
        <v>0</v>
      </c>
      <c r="K17" s="87">
        <f t="shared" si="0"/>
        <v>0</v>
      </c>
      <c r="L17" s="60"/>
    </row>
    <row r="18" spans="2:12" x14ac:dyDescent="0.2">
      <c r="B18" s="81"/>
      <c r="C18" s="99"/>
      <c r="D18" s="100"/>
      <c r="E18" s="106"/>
      <c r="F18" s="102"/>
      <c r="G18" s="106"/>
      <c r="H18" s="102"/>
      <c r="I18" s="106"/>
      <c r="J18" s="102"/>
      <c r="K18" s="106"/>
      <c r="L18" s="60"/>
    </row>
    <row r="19" spans="2:12" x14ac:dyDescent="0.2">
      <c r="B19" s="81"/>
      <c r="C19" s="90" t="s">
        <v>70</v>
      </c>
      <c r="D19" s="100"/>
      <c r="E19" s="96"/>
      <c r="F19" s="102"/>
      <c r="G19" s="96"/>
      <c r="H19" s="102"/>
      <c r="I19" s="96"/>
      <c r="J19" s="102"/>
      <c r="K19" s="96"/>
      <c r="L19" s="60"/>
    </row>
    <row r="20" spans="2:12" x14ac:dyDescent="0.2">
      <c r="B20" s="81"/>
      <c r="C20" s="99" t="s">
        <v>71</v>
      </c>
      <c r="D20" s="101">
        <f>+F46</f>
        <v>3024000</v>
      </c>
      <c r="E20" s="96">
        <f>SUM(F20:H20)</f>
        <v>-3024000</v>
      </c>
      <c r="F20" s="102">
        <f>-ROUND(F17*G46,0)</f>
        <v>-1766650</v>
      </c>
      <c r="G20" s="96">
        <f>-(+D20+F20)</f>
        <v>-1257350</v>
      </c>
      <c r="H20" s="102"/>
      <c r="I20" s="96"/>
      <c r="J20" s="102"/>
      <c r="K20" s="96"/>
      <c r="L20" s="60"/>
    </row>
    <row r="21" spans="2:12" x14ac:dyDescent="0.2">
      <c r="B21" s="81"/>
      <c r="C21" s="99" t="s">
        <v>72</v>
      </c>
      <c r="D21" s="101">
        <f>+F47</f>
        <v>2004000</v>
      </c>
      <c r="E21" s="96">
        <f>SUM(F21:H21)</f>
        <v>-2004000</v>
      </c>
      <c r="F21" s="102">
        <f>-ROUND(F17*G47,0)</f>
        <v>-1170912</v>
      </c>
      <c r="G21" s="96">
        <f>-(+D21+F21)</f>
        <v>-833088</v>
      </c>
      <c r="H21" s="58"/>
      <c r="I21" s="107"/>
      <c r="J21" s="58"/>
      <c r="K21" s="107"/>
      <c r="L21" s="60"/>
    </row>
    <row r="22" spans="2:12" x14ac:dyDescent="0.2">
      <c r="B22" s="81"/>
      <c r="C22" s="108" t="s">
        <v>73</v>
      </c>
      <c r="D22" s="109">
        <f>SUM(D20:D21)</f>
        <v>5028000</v>
      </c>
      <c r="E22" s="107"/>
      <c r="F22" s="58"/>
      <c r="G22" s="107"/>
      <c r="H22" s="58"/>
      <c r="I22" s="107"/>
      <c r="J22" s="58"/>
      <c r="K22" s="107"/>
      <c r="L22" s="60"/>
    </row>
    <row r="23" spans="2:12" x14ac:dyDescent="0.2">
      <c r="B23" s="81"/>
      <c r="C23" s="110"/>
      <c r="D23" s="111"/>
      <c r="E23" s="107"/>
      <c r="F23" s="58"/>
      <c r="G23" s="107"/>
      <c r="H23" s="58"/>
      <c r="I23" s="107"/>
      <c r="J23" s="58"/>
      <c r="K23" s="107"/>
      <c r="L23" s="60"/>
    </row>
    <row r="24" spans="2:12" x14ac:dyDescent="0.2">
      <c r="B24" s="81"/>
      <c r="C24" s="85" t="s">
        <v>74</v>
      </c>
      <c r="D24" s="86"/>
      <c r="E24" s="89">
        <f t="shared" ref="E24:K24" si="1">SUM(E17:E23)</f>
        <v>1479562</v>
      </c>
      <c r="F24" s="88">
        <f t="shared" si="1"/>
        <v>0</v>
      </c>
      <c r="G24" s="89">
        <f t="shared" si="1"/>
        <v>1479562</v>
      </c>
      <c r="H24" s="88">
        <f t="shared" si="1"/>
        <v>0</v>
      </c>
      <c r="I24" s="89">
        <f t="shared" si="1"/>
        <v>0</v>
      </c>
      <c r="J24" s="88">
        <f t="shared" si="1"/>
        <v>0</v>
      </c>
      <c r="K24" s="89">
        <f t="shared" si="1"/>
        <v>0</v>
      </c>
      <c r="L24" s="60"/>
    </row>
    <row r="25" spans="2:12" x14ac:dyDescent="0.2">
      <c r="B25" s="81"/>
      <c r="C25" s="112"/>
      <c r="D25" s="112"/>
      <c r="E25" s="66"/>
      <c r="F25" s="66"/>
      <c r="G25" s="66"/>
      <c r="H25" s="66"/>
      <c r="I25" s="66"/>
      <c r="J25" s="66"/>
      <c r="K25" s="66"/>
      <c r="L25" s="60"/>
    </row>
    <row r="26" spans="2:12" x14ac:dyDescent="0.2">
      <c r="B26" s="81"/>
      <c r="C26" s="112"/>
      <c r="D26" s="112"/>
      <c r="E26" s="112"/>
      <c r="F26" s="58"/>
      <c r="G26" s="58"/>
      <c r="H26" s="58"/>
      <c r="I26" s="58"/>
      <c r="J26" s="58"/>
      <c r="K26" s="58"/>
      <c r="L26" s="60"/>
    </row>
    <row r="27" spans="2:12" x14ac:dyDescent="0.2">
      <c r="B27" s="81"/>
      <c r="C27" s="61" t="s">
        <v>75</v>
      </c>
      <c r="D27" s="113" t="s">
        <v>76</v>
      </c>
      <c r="E27" s="113" t="s">
        <v>77</v>
      </c>
      <c r="F27" s="58"/>
      <c r="G27" s="58"/>
      <c r="H27" s="58"/>
      <c r="I27" s="58"/>
      <c r="J27" s="58"/>
      <c r="K27" s="58"/>
      <c r="L27" s="60"/>
    </row>
    <row r="28" spans="2:12" x14ac:dyDescent="0.2">
      <c r="B28" s="81"/>
      <c r="C28" s="58"/>
      <c r="D28" s="58"/>
      <c r="E28" s="58"/>
      <c r="F28" s="58"/>
      <c r="G28" s="58"/>
      <c r="H28" s="58"/>
      <c r="I28" s="58"/>
      <c r="J28" s="58"/>
      <c r="K28" s="58"/>
      <c r="L28" s="60"/>
    </row>
    <row r="29" spans="2:12" x14ac:dyDescent="0.2">
      <c r="B29" s="81"/>
      <c r="C29" s="58" t="s">
        <v>78</v>
      </c>
      <c r="D29" s="114">
        <f>+'Desarrollo Ejercicio n°1 A'!F29*50%</f>
        <v>1543781</v>
      </c>
      <c r="E29" s="114">
        <f>+D29</f>
        <v>1543781</v>
      </c>
      <c r="F29" s="58"/>
      <c r="G29" s="58"/>
      <c r="H29" s="58"/>
      <c r="I29" s="58"/>
      <c r="J29" s="58"/>
      <c r="K29" s="58"/>
      <c r="L29" s="60"/>
    </row>
    <row r="30" spans="2:12" x14ac:dyDescent="0.2">
      <c r="B30" s="81"/>
      <c r="C30" s="58" t="s">
        <v>79</v>
      </c>
      <c r="D30" s="115">
        <f>-G20</f>
        <v>1257350</v>
      </c>
      <c r="E30" s="115">
        <f>-G21</f>
        <v>833088</v>
      </c>
      <c r="F30" s="58"/>
      <c r="G30" s="58"/>
      <c r="H30" s="58"/>
      <c r="I30" s="58"/>
      <c r="J30" s="58"/>
      <c r="K30" s="58"/>
      <c r="L30" s="60"/>
    </row>
    <row r="31" spans="2:12" x14ac:dyDescent="0.2">
      <c r="B31" s="81"/>
      <c r="C31" s="58"/>
      <c r="D31" s="116"/>
      <c r="E31" s="116"/>
      <c r="F31" s="58"/>
      <c r="G31" s="58"/>
      <c r="H31" s="58"/>
      <c r="I31" s="58"/>
      <c r="J31" s="58"/>
      <c r="K31" s="58"/>
      <c r="L31" s="60"/>
    </row>
    <row r="32" spans="2:12" x14ac:dyDescent="0.2">
      <c r="B32" s="81"/>
      <c r="C32" s="117" t="s">
        <v>80</v>
      </c>
      <c r="D32" s="118">
        <f>SUM(D29:D31)</f>
        <v>2801131</v>
      </c>
      <c r="E32" s="119">
        <f>SUM(E29:E31)</f>
        <v>2376869</v>
      </c>
      <c r="F32" s="58"/>
      <c r="G32" s="58"/>
      <c r="H32" s="58"/>
      <c r="I32" s="58"/>
      <c r="J32" s="58"/>
      <c r="K32" s="58"/>
      <c r="L32" s="60"/>
    </row>
    <row r="33" spans="2:12" x14ac:dyDescent="0.2">
      <c r="B33" s="81"/>
      <c r="C33" s="112"/>
      <c r="D33" s="112"/>
      <c r="E33" s="112"/>
      <c r="F33" s="58"/>
      <c r="G33" s="58"/>
      <c r="H33" s="58"/>
      <c r="I33" s="58"/>
      <c r="J33" s="58"/>
      <c r="K33" s="58"/>
      <c r="L33" s="60"/>
    </row>
    <row r="34" spans="2:12" x14ac:dyDescent="0.2">
      <c r="B34" s="81"/>
      <c r="C34" s="112"/>
      <c r="D34" s="112"/>
      <c r="E34" s="112"/>
      <c r="F34" s="58"/>
      <c r="G34" s="58"/>
      <c r="H34" s="58"/>
      <c r="I34" s="58"/>
      <c r="J34" s="58"/>
      <c r="K34" s="58"/>
      <c r="L34" s="60"/>
    </row>
    <row r="35" spans="2:12" x14ac:dyDescent="0.2">
      <c r="B35" s="81"/>
      <c r="C35" s="112"/>
      <c r="D35" s="112"/>
      <c r="E35" s="112"/>
      <c r="F35" s="58"/>
      <c r="G35" s="58"/>
      <c r="H35" s="58"/>
      <c r="I35" s="58"/>
      <c r="J35" s="58"/>
      <c r="K35" s="58"/>
      <c r="L35" s="60"/>
    </row>
    <row r="36" spans="2:12" x14ac:dyDescent="0.2">
      <c r="B36" s="81"/>
      <c r="C36" s="58"/>
      <c r="D36" s="58"/>
      <c r="E36" s="58"/>
      <c r="F36" s="58"/>
      <c r="G36" s="58"/>
      <c r="H36" s="58"/>
      <c r="I36" s="58"/>
      <c r="J36" s="58"/>
      <c r="K36" s="58"/>
      <c r="L36" s="60"/>
    </row>
    <row r="37" spans="2:12" x14ac:dyDescent="0.2">
      <c r="B37" s="81"/>
      <c r="C37" s="120" t="s">
        <v>81</v>
      </c>
      <c r="D37" s="58"/>
      <c r="E37" s="58"/>
      <c r="F37" s="58"/>
      <c r="G37" s="58"/>
      <c r="H37" s="58"/>
      <c r="I37" s="58"/>
      <c r="J37" s="58"/>
      <c r="K37" s="58"/>
      <c r="L37" s="60"/>
    </row>
    <row r="38" spans="2:12" x14ac:dyDescent="0.2">
      <c r="B38" s="81"/>
      <c r="C38" s="58"/>
      <c r="D38" s="58"/>
      <c r="E38" s="58"/>
      <c r="F38" s="58"/>
      <c r="G38" s="58"/>
      <c r="H38" s="58"/>
      <c r="I38" s="58"/>
      <c r="J38" s="58"/>
      <c r="K38" s="58"/>
      <c r="L38" s="60"/>
    </row>
    <row r="39" spans="2:12" x14ac:dyDescent="0.2">
      <c r="B39" s="81"/>
      <c r="C39" s="121" t="s">
        <v>82</v>
      </c>
      <c r="D39" s="122" t="s">
        <v>83</v>
      </c>
      <c r="E39" s="122" t="s">
        <v>84</v>
      </c>
      <c r="F39" s="123" t="s">
        <v>59</v>
      </c>
      <c r="G39" s="58"/>
      <c r="H39" s="58"/>
      <c r="I39" s="58"/>
      <c r="J39" s="58"/>
      <c r="K39" s="58"/>
      <c r="L39" s="60"/>
    </row>
    <row r="40" spans="2:12" x14ac:dyDescent="0.2">
      <c r="B40" s="81"/>
      <c r="C40" s="124">
        <f>-+'Planteamiento Ejercicio n°1'!G46*3</f>
        <v>15300000</v>
      </c>
      <c r="D40" s="125">
        <f>+C40/10</f>
        <v>1530000</v>
      </c>
      <c r="E40" s="125">
        <f>-+'Desarrollo Ejercicio n°1 A'!E20</f>
        <v>5100000</v>
      </c>
      <c r="F40" s="126">
        <f>-+'Planteamiento Ejercicio n°1'!G46-D40</f>
        <v>3570000</v>
      </c>
      <c r="G40" s="58"/>
      <c r="H40" s="58"/>
      <c r="I40" s="58"/>
      <c r="J40" s="58"/>
      <c r="K40" s="58"/>
      <c r="L40" s="60"/>
    </row>
    <row r="41" spans="2:12" x14ac:dyDescent="0.2">
      <c r="B41" s="81"/>
      <c r="C41" s="112"/>
      <c r="D41" s="112"/>
      <c r="E41" s="112"/>
      <c r="F41" s="58"/>
      <c r="G41" s="58"/>
      <c r="H41" s="58"/>
      <c r="I41" s="58"/>
      <c r="J41" s="58"/>
      <c r="K41" s="58"/>
      <c r="L41" s="60"/>
    </row>
    <row r="42" spans="2:12" ht="38.25" x14ac:dyDescent="0.2">
      <c r="B42" s="81"/>
      <c r="C42" s="127" t="s">
        <v>85</v>
      </c>
      <c r="D42" s="83" t="s">
        <v>86</v>
      </c>
      <c r="E42" s="80" t="s">
        <v>87</v>
      </c>
      <c r="F42" s="58"/>
      <c r="G42" s="58"/>
      <c r="H42" s="58"/>
      <c r="I42" s="58"/>
      <c r="J42" s="58"/>
      <c r="K42" s="58"/>
      <c r="L42" s="60"/>
    </row>
    <row r="43" spans="2:12" x14ac:dyDescent="0.2">
      <c r="B43" s="81"/>
      <c r="C43" s="128">
        <f>+'Desarrollo Ejercicio n°1 A'!E26</f>
        <v>2000000</v>
      </c>
      <c r="D43" s="129">
        <v>0.342281</v>
      </c>
      <c r="E43" s="130">
        <f>+'Desarrollo Ejercicio n°1 A'!E26*D43</f>
        <v>684562</v>
      </c>
      <c r="F43" s="58"/>
      <c r="G43" s="58"/>
      <c r="H43" s="58"/>
      <c r="I43" s="112"/>
      <c r="J43" s="24"/>
      <c r="K43" s="58"/>
      <c r="L43" s="60"/>
    </row>
    <row r="44" spans="2:12" x14ac:dyDescent="0.2">
      <c r="B44" s="81"/>
      <c r="C44" s="112"/>
      <c r="D44" s="112"/>
      <c r="E44" s="112"/>
      <c r="F44" s="112"/>
      <c r="G44" s="112"/>
      <c r="H44" s="58"/>
      <c r="I44" s="112"/>
      <c r="J44" s="24"/>
      <c r="K44" s="58"/>
      <c r="L44" s="60"/>
    </row>
    <row r="45" spans="2:12" x14ac:dyDescent="0.2">
      <c r="B45" s="81"/>
      <c r="C45" s="58"/>
      <c r="D45" s="131" t="s">
        <v>88</v>
      </c>
      <c r="E45" s="131" t="s">
        <v>89</v>
      </c>
      <c r="F45" s="132" t="s">
        <v>90</v>
      </c>
      <c r="G45" s="131" t="s">
        <v>91</v>
      </c>
      <c r="H45" s="112"/>
      <c r="I45" s="112"/>
      <c r="J45" s="24"/>
      <c r="K45" s="58"/>
      <c r="L45" s="60"/>
    </row>
    <row r="46" spans="2:12" x14ac:dyDescent="0.2">
      <c r="B46" s="81"/>
      <c r="C46" s="133" t="s">
        <v>76</v>
      </c>
      <c r="D46" s="106">
        <v>3000000</v>
      </c>
      <c r="E46" s="134">
        <v>8.0000000000000002E-3</v>
      </c>
      <c r="F46" s="135">
        <f>ROUND(D46*E46,0)+D46</f>
        <v>3024000</v>
      </c>
      <c r="G46" s="136">
        <f>ROUND(F46/F48,4)</f>
        <v>0.60140000000000005</v>
      </c>
      <c r="H46" s="112"/>
      <c r="I46" s="112"/>
      <c r="J46" s="24"/>
      <c r="K46" s="58"/>
      <c r="L46" s="60"/>
    </row>
    <row r="47" spans="2:12" x14ac:dyDescent="0.2">
      <c r="B47" s="81"/>
      <c r="C47" s="137" t="s">
        <v>77</v>
      </c>
      <c r="D47" s="138">
        <v>2000000</v>
      </c>
      <c r="E47" s="139">
        <v>2E-3</v>
      </c>
      <c r="F47" s="126">
        <f>ROUND(D47*E47,0)+D47</f>
        <v>2004000</v>
      </c>
      <c r="G47" s="140">
        <f>ROUND(F47/F48,4)</f>
        <v>0.39860000000000001</v>
      </c>
      <c r="H47" s="112"/>
      <c r="I47" s="112"/>
      <c r="J47" s="24"/>
      <c r="K47" s="58"/>
      <c r="L47" s="60"/>
    </row>
    <row r="48" spans="2:12" x14ac:dyDescent="0.2">
      <c r="B48" s="81"/>
      <c r="C48" s="112"/>
      <c r="D48" s="112"/>
      <c r="E48" s="112"/>
      <c r="F48" s="141">
        <f>SUM(F46:F47)</f>
        <v>5028000</v>
      </c>
      <c r="G48" s="142">
        <v>1</v>
      </c>
      <c r="H48" s="112"/>
      <c r="I48" s="112"/>
      <c r="J48" s="24"/>
      <c r="K48" s="58"/>
      <c r="L48" s="60"/>
    </row>
    <row r="49" spans="2:12" ht="13.5" thickBo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5"/>
    </row>
  </sheetData>
  <mergeCells count="7">
    <mergeCell ref="K9:K10"/>
    <mergeCell ref="C9:C10"/>
    <mergeCell ref="E9:E10"/>
    <mergeCell ref="F9:F10"/>
    <mergeCell ref="G9:G10"/>
    <mergeCell ref="H9:H10"/>
    <mergeCell ref="I9:J9"/>
  </mergeCell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80"/>
  <sheetViews>
    <sheetView showGridLines="0" topLeftCell="A37" zoomScale="112" zoomScaleNormal="112" workbookViewId="0">
      <selection activeCell="E43" sqref="E43"/>
    </sheetView>
  </sheetViews>
  <sheetFormatPr baseColWidth="10" defaultColWidth="11.42578125" defaultRowHeight="12.75" x14ac:dyDescent="0.2"/>
  <cols>
    <col min="1" max="2" width="11.42578125" style="1"/>
    <col min="3" max="3" width="3.5703125" style="2" bestFit="1" customWidth="1"/>
    <col min="4" max="4" width="3.85546875" style="1" customWidth="1"/>
    <col min="5" max="5" width="52.42578125" style="1" bestFit="1" customWidth="1"/>
    <col min="6" max="6" width="11.42578125" style="1"/>
    <col min="7" max="7" width="11.85546875" style="1" bestFit="1" customWidth="1"/>
    <col min="8" max="8" width="14" style="1" bestFit="1" customWidth="1"/>
    <col min="9" max="9" width="11.42578125" style="1"/>
    <col min="10" max="10" width="10.5703125" style="3" bestFit="1" customWidth="1"/>
    <col min="11" max="11" width="11.28515625" style="3" bestFit="1" customWidth="1"/>
    <col min="12" max="13" width="12.28515625" style="3" bestFit="1" customWidth="1"/>
    <col min="14" max="14" width="15.140625" style="1" bestFit="1" customWidth="1"/>
    <col min="15" max="16384" width="11.42578125" style="1"/>
  </cols>
  <sheetData>
    <row r="1" spans="2:10" ht="13.5" thickBot="1" x14ac:dyDescent="0.25">
      <c r="C1" s="1"/>
    </row>
    <row r="2" spans="2:10" x14ac:dyDescent="0.2">
      <c r="B2" s="4"/>
      <c r="C2" s="56"/>
      <c r="D2" s="56"/>
      <c r="E2" s="6"/>
      <c r="F2" s="6"/>
      <c r="G2" s="6"/>
      <c r="H2" s="6"/>
      <c r="I2" s="6"/>
      <c r="J2" s="8"/>
    </row>
    <row r="3" spans="2:10" x14ac:dyDescent="0.2">
      <c r="B3" s="9"/>
      <c r="C3" s="20" t="s">
        <v>229</v>
      </c>
      <c r="D3" s="58"/>
      <c r="E3" s="10"/>
      <c r="F3" s="10"/>
      <c r="G3" s="10"/>
      <c r="H3" s="10"/>
      <c r="I3" s="10"/>
      <c r="J3" s="12"/>
    </row>
    <row r="4" spans="2:10" x14ac:dyDescent="0.2">
      <c r="B4" s="9"/>
      <c r="C4" s="10" t="s">
        <v>231</v>
      </c>
      <c r="D4" s="58"/>
      <c r="E4" s="10"/>
      <c r="F4" s="10"/>
      <c r="G4" s="10"/>
      <c r="H4" s="10"/>
      <c r="I4" s="10"/>
      <c r="J4" s="12"/>
    </row>
    <row r="5" spans="2:10" x14ac:dyDescent="0.2">
      <c r="B5" s="9"/>
      <c r="C5" s="13"/>
      <c r="D5" s="10"/>
      <c r="E5" s="10"/>
      <c r="F5" s="10"/>
      <c r="G5" s="10"/>
      <c r="H5" s="10"/>
      <c r="I5" s="10"/>
      <c r="J5" s="12"/>
    </row>
    <row r="6" spans="2:10" ht="15.75" x14ac:dyDescent="0.25">
      <c r="B6" s="9"/>
      <c r="C6" s="13"/>
      <c r="D6" s="378" t="s">
        <v>224</v>
      </c>
      <c r="E6" s="378"/>
      <c r="F6" s="378"/>
      <c r="G6" s="378"/>
      <c r="H6" s="378"/>
      <c r="I6" s="378"/>
      <c r="J6" s="12"/>
    </row>
    <row r="7" spans="2:10" x14ac:dyDescent="0.2">
      <c r="B7" s="9"/>
      <c r="C7" s="13"/>
      <c r="D7" s="10"/>
      <c r="E7" s="10"/>
      <c r="F7" s="10"/>
      <c r="G7" s="10"/>
      <c r="H7" s="10"/>
      <c r="I7" s="10"/>
      <c r="J7" s="12"/>
    </row>
    <row r="8" spans="2:10" ht="12.75" customHeight="1" x14ac:dyDescent="0.2">
      <c r="B8" s="9"/>
      <c r="C8" s="379" t="s">
        <v>198</v>
      </c>
      <c r="D8" s="379"/>
      <c r="E8" s="379"/>
      <c r="F8" s="379"/>
      <c r="G8" s="379"/>
      <c r="H8" s="379"/>
      <c r="I8" s="379"/>
      <c r="J8" s="12"/>
    </row>
    <row r="9" spans="2:10" x14ac:dyDescent="0.2">
      <c r="B9" s="9"/>
      <c r="C9" s="379"/>
      <c r="D9" s="379"/>
      <c r="E9" s="379"/>
      <c r="F9" s="379"/>
      <c r="G9" s="379"/>
      <c r="H9" s="379"/>
      <c r="I9" s="379"/>
      <c r="J9" s="12"/>
    </row>
    <row r="10" spans="2:10" x14ac:dyDescent="0.2">
      <c r="B10" s="9"/>
      <c r="C10" s="379"/>
      <c r="D10" s="379"/>
      <c r="E10" s="379"/>
      <c r="F10" s="379"/>
      <c r="G10" s="379"/>
      <c r="H10" s="379"/>
      <c r="I10" s="379"/>
      <c r="J10" s="12"/>
    </row>
    <row r="11" spans="2:10" x14ac:dyDescent="0.2">
      <c r="B11" s="9"/>
      <c r="C11" s="13"/>
      <c r="D11" s="14"/>
      <c r="E11" s="14"/>
      <c r="F11" s="14"/>
      <c r="G11" s="14"/>
      <c r="H11" s="14"/>
      <c r="I11" s="14"/>
      <c r="J11" s="12"/>
    </row>
    <row r="12" spans="2:10" ht="12.75" customHeight="1" x14ac:dyDescent="0.2">
      <c r="B12" s="9"/>
      <c r="C12" s="13" t="s">
        <v>2</v>
      </c>
      <c r="D12" s="167" t="s">
        <v>3</v>
      </c>
      <c r="E12" s="168"/>
      <c r="F12" s="168"/>
      <c r="G12" s="168"/>
      <c r="H12" s="168"/>
      <c r="I12" s="168"/>
      <c r="J12" s="12"/>
    </row>
    <row r="13" spans="2:10" ht="12.75" customHeight="1" x14ac:dyDescent="0.2">
      <c r="B13" s="9"/>
      <c r="C13" s="13"/>
      <c r="D13" s="168"/>
      <c r="E13" s="168"/>
      <c r="F13" s="168"/>
      <c r="G13" s="168"/>
      <c r="H13" s="168"/>
      <c r="I13" s="168"/>
      <c r="J13" s="12"/>
    </row>
    <row r="14" spans="2:10" ht="12.75" customHeight="1" x14ac:dyDescent="0.2">
      <c r="B14" s="9"/>
      <c r="C14" s="10" t="s">
        <v>4</v>
      </c>
      <c r="D14" s="10" t="s">
        <v>97</v>
      </c>
      <c r="E14" s="10"/>
      <c r="F14" s="10"/>
      <c r="G14" s="10"/>
      <c r="H14" s="168"/>
      <c r="I14" s="168"/>
      <c r="J14" s="12"/>
    </row>
    <row r="15" spans="2:10" ht="12.75" customHeight="1" x14ac:dyDescent="0.2">
      <c r="B15" s="9"/>
      <c r="C15" s="10"/>
      <c r="D15" s="10"/>
      <c r="E15" s="10"/>
      <c r="F15" s="10"/>
      <c r="G15" s="58"/>
      <c r="H15" s="168"/>
      <c r="I15" s="168"/>
      <c r="J15" s="12"/>
    </row>
    <row r="16" spans="2:10" ht="12.75" customHeight="1" x14ac:dyDescent="0.2">
      <c r="B16" s="9"/>
      <c r="C16" s="10"/>
      <c r="D16" s="10"/>
      <c r="E16" s="58" t="s">
        <v>62</v>
      </c>
      <c r="F16" s="93">
        <f>+'Desarrollo Ejercicio n°2 B y C'!K13</f>
        <v>10000000</v>
      </c>
      <c r="G16" s="58"/>
      <c r="H16" s="168"/>
      <c r="I16" s="168"/>
      <c r="J16" s="12"/>
    </row>
    <row r="17" spans="2:15" ht="12.75" customHeight="1" x14ac:dyDescent="0.2">
      <c r="B17" s="9"/>
      <c r="C17" s="10"/>
      <c r="D17" s="10"/>
      <c r="E17" s="58" t="s">
        <v>98</v>
      </c>
      <c r="F17" s="93">
        <f>+'Desarrollo Ejercicio n°2 B y C'!J13</f>
        <v>2400000</v>
      </c>
      <c r="G17" s="58"/>
      <c r="H17" s="168"/>
      <c r="I17" s="168"/>
      <c r="J17" s="12"/>
    </row>
    <row r="18" spans="2:15" ht="12.75" customHeight="1" x14ac:dyDescent="0.2">
      <c r="B18" s="9"/>
      <c r="C18" s="10"/>
      <c r="D18" s="10"/>
      <c r="E18" s="58" t="s">
        <v>99</v>
      </c>
      <c r="F18" s="58">
        <f>+F23</f>
        <v>0.31578899999999999</v>
      </c>
      <c r="G18" s="58"/>
      <c r="H18" s="168"/>
      <c r="I18" s="168"/>
      <c r="J18" s="12"/>
    </row>
    <row r="19" spans="2:15" ht="12.75" customHeight="1" x14ac:dyDescent="0.2">
      <c r="B19" s="9"/>
      <c r="C19" s="10"/>
      <c r="D19" s="10"/>
      <c r="E19" s="58"/>
      <c r="F19" s="58"/>
      <c r="G19" s="58"/>
      <c r="H19" s="168"/>
      <c r="I19" s="168"/>
      <c r="J19" s="12"/>
    </row>
    <row r="20" spans="2:15" ht="12.75" customHeight="1" x14ac:dyDescent="0.2">
      <c r="B20" s="9"/>
      <c r="C20" s="10"/>
      <c r="D20" s="10"/>
      <c r="E20" s="61" t="s">
        <v>100</v>
      </c>
      <c r="F20" s="58"/>
      <c r="G20" s="93"/>
      <c r="H20" s="168"/>
      <c r="I20" s="168"/>
      <c r="J20" s="12"/>
    </row>
    <row r="21" spans="2:15" ht="12.75" customHeight="1" x14ac:dyDescent="0.2">
      <c r="B21" s="9"/>
      <c r="C21" s="10"/>
      <c r="D21" s="10"/>
      <c r="E21" s="58" t="s">
        <v>101</v>
      </c>
      <c r="F21" s="169">
        <f>+F17</f>
        <v>2400000</v>
      </c>
      <c r="G21" s="10"/>
      <c r="H21" s="168"/>
      <c r="I21" s="168"/>
      <c r="J21" s="12"/>
    </row>
    <row r="22" spans="2:15" ht="12.75" customHeight="1" x14ac:dyDescent="0.2">
      <c r="B22" s="9"/>
      <c r="C22" s="10"/>
      <c r="D22" s="10"/>
      <c r="E22" s="58" t="s">
        <v>102</v>
      </c>
      <c r="F22" s="93">
        <f>+F16-F17</f>
        <v>7600000</v>
      </c>
      <c r="G22" s="10"/>
      <c r="H22" s="168"/>
      <c r="I22" s="168"/>
      <c r="J22" s="12"/>
    </row>
    <row r="23" spans="2:15" ht="12.75" customHeight="1" x14ac:dyDescent="0.2">
      <c r="B23" s="9"/>
      <c r="C23" s="13"/>
      <c r="D23" s="168"/>
      <c r="E23" s="117" t="s">
        <v>103</v>
      </c>
      <c r="F23" s="170">
        <f>ROUND(F17/F22,6)</f>
        <v>0.31578899999999999</v>
      </c>
      <c r="G23" s="10"/>
      <c r="H23" s="168"/>
      <c r="I23" s="168"/>
      <c r="J23" s="12"/>
    </row>
    <row r="24" spans="2:15" ht="12.75" customHeight="1" x14ac:dyDescent="0.2">
      <c r="B24" s="9"/>
      <c r="C24" s="13"/>
      <c r="D24" s="168"/>
      <c r="E24" s="168"/>
      <c r="F24" s="168"/>
      <c r="G24" s="168"/>
      <c r="H24" s="168"/>
      <c r="I24" s="168"/>
      <c r="J24" s="12"/>
    </row>
    <row r="25" spans="2:15" x14ac:dyDescent="0.2">
      <c r="B25" s="9"/>
      <c r="C25" s="13"/>
      <c r="D25" s="146"/>
      <c r="E25" s="146"/>
      <c r="F25" s="146"/>
      <c r="G25" s="146"/>
      <c r="H25" s="146"/>
      <c r="I25" s="146"/>
      <c r="J25" s="12"/>
    </row>
    <row r="26" spans="2:15" x14ac:dyDescent="0.2">
      <c r="B26" s="9"/>
      <c r="C26" s="391" t="s">
        <v>104</v>
      </c>
      <c r="D26" s="391"/>
      <c r="E26" s="391"/>
      <c r="F26" s="391"/>
      <c r="G26" s="391"/>
      <c r="H26" s="391"/>
      <c r="I26" s="391"/>
      <c r="J26" s="12"/>
    </row>
    <row r="27" spans="2:15" x14ac:dyDescent="0.2">
      <c r="B27" s="9"/>
      <c r="C27" s="13"/>
      <c r="D27" s="146"/>
      <c r="E27" s="146"/>
      <c r="F27" s="146"/>
      <c r="G27" s="146"/>
      <c r="H27" s="146"/>
      <c r="I27" s="146"/>
      <c r="J27" s="12"/>
    </row>
    <row r="28" spans="2:15" x14ac:dyDescent="0.2">
      <c r="B28" s="9"/>
      <c r="C28" s="13" t="s">
        <v>6</v>
      </c>
      <c r="D28" s="10" t="s">
        <v>5</v>
      </c>
      <c r="E28" s="15"/>
      <c r="F28" s="15"/>
      <c r="G28" s="15"/>
      <c r="H28" s="15"/>
      <c r="I28" s="10"/>
      <c r="J28" s="12"/>
    </row>
    <row r="29" spans="2:15" x14ac:dyDescent="0.2">
      <c r="B29" s="9"/>
      <c r="C29" s="13"/>
      <c r="D29" s="10"/>
      <c r="E29" s="15"/>
      <c r="F29" s="15"/>
      <c r="G29" s="15"/>
      <c r="H29" s="15"/>
      <c r="I29" s="10"/>
      <c r="J29" s="12"/>
    </row>
    <row r="30" spans="2:15" ht="12.75" customHeight="1" x14ac:dyDescent="0.2">
      <c r="B30" s="9"/>
      <c r="C30" s="13" t="s">
        <v>8</v>
      </c>
      <c r="D30" s="381" t="s">
        <v>7</v>
      </c>
      <c r="E30" s="381"/>
      <c r="F30" s="381"/>
      <c r="G30" s="381"/>
      <c r="H30" s="381"/>
      <c r="I30" s="381"/>
      <c r="J30" s="12"/>
      <c r="N30" s="16"/>
      <c r="O30" s="17"/>
    </row>
    <row r="31" spans="2:15" x14ac:dyDescent="0.2">
      <c r="B31" s="9"/>
      <c r="C31" s="10"/>
      <c r="D31" s="381"/>
      <c r="E31" s="381"/>
      <c r="F31" s="381"/>
      <c r="G31" s="381"/>
      <c r="H31" s="381"/>
      <c r="I31" s="381"/>
      <c r="J31" s="12"/>
      <c r="M31" s="18"/>
    </row>
    <row r="32" spans="2:15" x14ac:dyDescent="0.2">
      <c r="B32" s="9"/>
      <c r="C32" s="13"/>
      <c r="D32" s="381"/>
      <c r="E32" s="381"/>
      <c r="F32" s="381"/>
      <c r="G32" s="381"/>
      <c r="H32" s="381"/>
      <c r="I32" s="381"/>
      <c r="J32" s="12"/>
      <c r="M32" s="18"/>
    </row>
    <row r="33" spans="2:15" x14ac:dyDescent="0.2">
      <c r="B33" s="9"/>
      <c r="C33" s="13"/>
      <c r="D33" s="10"/>
      <c r="E33" s="15"/>
      <c r="F33" s="15"/>
      <c r="G33" s="15"/>
      <c r="H33" s="15"/>
      <c r="I33" s="10"/>
      <c r="J33" s="12"/>
      <c r="N33" s="17"/>
      <c r="O33" s="19"/>
    </row>
    <row r="34" spans="2:15" ht="12.75" customHeight="1" x14ac:dyDescent="0.2">
      <c r="B34" s="9"/>
      <c r="C34" s="13" t="s">
        <v>10</v>
      </c>
      <c r="D34" s="381" t="s">
        <v>9</v>
      </c>
      <c r="E34" s="381"/>
      <c r="F34" s="381"/>
      <c r="G34" s="381"/>
      <c r="H34" s="381"/>
      <c r="I34" s="381"/>
      <c r="J34" s="12"/>
    </row>
    <row r="35" spans="2:15" x14ac:dyDescent="0.2">
      <c r="B35" s="9"/>
      <c r="C35" s="10"/>
      <c r="D35" s="381"/>
      <c r="E35" s="381"/>
      <c r="F35" s="381"/>
      <c r="G35" s="381"/>
      <c r="H35" s="381"/>
      <c r="I35" s="381"/>
      <c r="J35" s="12"/>
    </row>
    <row r="36" spans="2:15" x14ac:dyDescent="0.2">
      <c r="B36" s="9"/>
      <c r="C36" s="13"/>
      <c r="D36" s="10"/>
      <c r="E36" s="15"/>
      <c r="F36" s="15"/>
      <c r="G36" s="15"/>
      <c r="H36" s="15"/>
      <c r="I36" s="10"/>
      <c r="J36" s="12"/>
    </row>
    <row r="37" spans="2:15" ht="12.75" customHeight="1" x14ac:dyDescent="0.2">
      <c r="B37" s="9"/>
      <c r="C37" s="13" t="s">
        <v>12</v>
      </c>
      <c r="D37" s="381" t="s">
        <v>11</v>
      </c>
      <c r="E37" s="381"/>
      <c r="F37" s="381"/>
      <c r="G37" s="381"/>
      <c r="H37" s="381"/>
      <c r="I37" s="381"/>
      <c r="J37" s="12"/>
    </row>
    <row r="38" spans="2:15" x14ac:dyDescent="0.2">
      <c r="B38" s="9"/>
      <c r="C38" s="13"/>
      <c r="D38" s="381"/>
      <c r="E38" s="381"/>
      <c r="F38" s="381"/>
      <c r="G38" s="381"/>
      <c r="H38" s="381"/>
      <c r="I38" s="381"/>
      <c r="J38" s="12"/>
    </row>
    <row r="39" spans="2:15" x14ac:dyDescent="0.2">
      <c r="B39" s="9"/>
      <c r="C39" s="10"/>
      <c r="D39" s="381"/>
      <c r="E39" s="381"/>
      <c r="F39" s="381"/>
      <c r="G39" s="381"/>
      <c r="H39" s="381"/>
      <c r="I39" s="381"/>
      <c r="J39" s="12"/>
    </row>
    <row r="40" spans="2:15" x14ac:dyDescent="0.2">
      <c r="B40" s="9"/>
      <c r="C40" s="13"/>
      <c r="D40" s="10"/>
      <c r="E40" s="15"/>
      <c r="F40" s="15"/>
      <c r="G40" s="15"/>
      <c r="H40" s="15"/>
      <c r="I40" s="10"/>
      <c r="J40" s="12"/>
    </row>
    <row r="41" spans="2:15" x14ac:dyDescent="0.2">
      <c r="B41" s="9"/>
      <c r="C41" s="13" t="s">
        <v>105</v>
      </c>
      <c r="D41" s="10" t="s">
        <v>199</v>
      </c>
      <c r="E41" s="15"/>
      <c r="F41" s="15"/>
      <c r="G41" s="15"/>
      <c r="H41" s="15"/>
      <c r="I41" s="10"/>
      <c r="J41" s="12"/>
    </row>
    <row r="42" spans="2:15" x14ac:dyDescent="0.2">
      <c r="B42" s="9"/>
      <c r="C42" s="13"/>
      <c r="D42" s="20" t="s">
        <v>14</v>
      </c>
      <c r="E42" s="15"/>
      <c r="F42" s="15"/>
      <c r="G42" s="15"/>
      <c r="H42" s="15"/>
      <c r="I42" s="10"/>
      <c r="J42" s="12"/>
    </row>
    <row r="43" spans="2:15" x14ac:dyDescent="0.2">
      <c r="B43" s="9"/>
      <c r="C43" s="13"/>
      <c r="D43" s="20" t="s">
        <v>15</v>
      </c>
      <c r="E43" s="15"/>
      <c r="F43" s="15"/>
      <c r="G43" s="15"/>
      <c r="H43" s="15"/>
      <c r="I43" s="10"/>
      <c r="J43" s="12"/>
    </row>
    <row r="44" spans="2:15" x14ac:dyDescent="0.2">
      <c r="B44" s="9"/>
      <c r="C44" s="13"/>
      <c r="D44" s="10"/>
      <c r="E44" s="15"/>
      <c r="F44" s="15"/>
      <c r="G44" s="15"/>
      <c r="H44" s="15"/>
      <c r="I44" s="10"/>
      <c r="J44" s="12"/>
    </row>
    <row r="45" spans="2:15" x14ac:dyDescent="0.2">
      <c r="B45" s="9"/>
      <c r="C45" s="13"/>
      <c r="D45" s="21" t="s">
        <v>106</v>
      </c>
      <c r="E45" s="15"/>
      <c r="F45" s="15"/>
      <c r="G45" s="15"/>
      <c r="H45" s="15"/>
      <c r="I45" s="10"/>
      <c r="J45" s="12"/>
    </row>
    <row r="46" spans="2:15" x14ac:dyDescent="0.2">
      <c r="B46" s="9"/>
      <c r="C46" s="13"/>
      <c r="D46" s="21"/>
      <c r="E46" s="15"/>
      <c r="F46" s="15"/>
      <c r="G46" s="15"/>
      <c r="H46" s="15"/>
      <c r="I46" s="10"/>
      <c r="J46" s="12"/>
    </row>
    <row r="47" spans="2:15" x14ac:dyDescent="0.2">
      <c r="B47" s="9"/>
      <c r="C47" s="13"/>
      <c r="D47" s="22" t="s">
        <v>17</v>
      </c>
      <c r="E47" s="20" t="s">
        <v>18</v>
      </c>
      <c r="F47" s="10"/>
      <c r="G47" s="23">
        <v>5500000</v>
      </c>
      <c r="H47" s="10"/>
      <c r="I47" s="10"/>
      <c r="J47" s="12"/>
      <c r="L47" s="18"/>
      <c r="M47" s="18"/>
    </row>
    <row r="48" spans="2:15" x14ac:dyDescent="0.2">
      <c r="B48" s="9"/>
      <c r="C48" s="13"/>
      <c r="D48" s="22"/>
      <c r="E48" s="24"/>
      <c r="F48" s="10"/>
      <c r="G48" s="10"/>
      <c r="H48" s="23"/>
      <c r="I48" s="10"/>
      <c r="J48" s="12"/>
      <c r="L48" s="18"/>
      <c r="M48" s="18"/>
    </row>
    <row r="49" spans="2:13" ht="15" x14ac:dyDescent="0.25">
      <c r="B49" s="9"/>
      <c r="C49" s="13"/>
      <c r="D49" s="22" t="s">
        <v>19</v>
      </c>
      <c r="E49" s="25" t="s">
        <v>20</v>
      </c>
      <c r="F49" s="10"/>
      <c r="G49" s="10"/>
      <c r="H49" s="10"/>
      <c r="I49" s="26"/>
      <c r="J49" s="28"/>
      <c r="K49" s="147"/>
    </row>
    <row r="50" spans="2:13" x14ac:dyDescent="0.2">
      <c r="B50" s="9"/>
      <c r="C50" s="13"/>
      <c r="D50" s="22"/>
      <c r="E50" s="10" t="s">
        <v>21</v>
      </c>
      <c r="F50" s="10"/>
      <c r="G50" s="23">
        <v>450000</v>
      </c>
      <c r="H50" s="10"/>
      <c r="I50" s="10"/>
      <c r="J50" s="12"/>
    </row>
    <row r="51" spans="2:13" x14ac:dyDescent="0.2">
      <c r="B51" s="9"/>
      <c r="C51" s="13"/>
      <c r="D51" s="22"/>
      <c r="E51" s="10" t="s">
        <v>22</v>
      </c>
      <c r="F51" s="10"/>
      <c r="G51" s="23">
        <v>300000</v>
      </c>
      <c r="H51" s="10"/>
      <c r="I51" s="10"/>
      <c r="J51" s="12"/>
    </row>
    <row r="52" spans="2:13" x14ac:dyDescent="0.2">
      <c r="B52" s="9"/>
      <c r="C52" s="13"/>
      <c r="D52" s="22"/>
      <c r="E52" s="10" t="s">
        <v>23</v>
      </c>
      <c r="F52" s="10"/>
      <c r="G52" s="23">
        <v>650000</v>
      </c>
      <c r="H52" s="10"/>
      <c r="I52" s="10"/>
      <c r="J52" s="12"/>
    </row>
    <row r="53" spans="2:13" x14ac:dyDescent="0.2">
      <c r="B53" s="9"/>
      <c r="C53" s="13"/>
      <c r="D53" s="22"/>
      <c r="E53" s="10" t="s">
        <v>24</v>
      </c>
      <c r="F53" s="10"/>
      <c r="G53" s="23">
        <v>1875000</v>
      </c>
      <c r="H53" s="10"/>
      <c r="I53" s="10"/>
      <c r="J53" s="12"/>
    </row>
    <row r="54" spans="2:13" x14ac:dyDescent="0.2">
      <c r="B54" s="9"/>
      <c r="C54" s="13"/>
      <c r="D54" s="22"/>
      <c r="E54" s="10" t="s">
        <v>25</v>
      </c>
      <c r="F54" s="10"/>
      <c r="G54" s="23">
        <v>1250000</v>
      </c>
      <c r="H54" s="10"/>
      <c r="I54" s="10"/>
      <c r="J54" s="12"/>
    </row>
    <row r="55" spans="2:13" x14ac:dyDescent="0.2">
      <c r="B55" s="9"/>
      <c r="C55" s="13"/>
      <c r="D55" s="22"/>
      <c r="E55" s="10" t="s">
        <v>26</v>
      </c>
      <c r="F55" s="10"/>
      <c r="G55" s="23">
        <v>150000</v>
      </c>
      <c r="H55" s="10"/>
      <c r="I55" s="10"/>
      <c r="J55" s="12"/>
    </row>
    <row r="56" spans="2:13" x14ac:dyDescent="0.2">
      <c r="B56" s="9"/>
      <c r="C56" s="13"/>
      <c r="D56" s="22"/>
      <c r="E56" s="10"/>
      <c r="F56" s="10"/>
      <c r="G56" s="23"/>
      <c r="H56" s="10"/>
      <c r="I56" s="10"/>
      <c r="J56" s="12"/>
    </row>
    <row r="57" spans="2:13" ht="15" x14ac:dyDescent="0.25">
      <c r="B57" s="9"/>
      <c r="C57" s="13"/>
      <c r="D57" s="22" t="s">
        <v>27</v>
      </c>
      <c r="E57" s="25" t="s">
        <v>92</v>
      </c>
      <c r="F57" s="10"/>
      <c r="G57" s="23"/>
      <c r="H57" s="10"/>
      <c r="I57" s="10"/>
      <c r="J57" s="12"/>
    </row>
    <row r="58" spans="2:13" x14ac:dyDescent="0.2">
      <c r="B58" s="9"/>
      <c r="C58" s="13"/>
      <c r="D58" s="22"/>
      <c r="E58" s="29" t="s">
        <v>29</v>
      </c>
      <c r="F58" s="10"/>
      <c r="G58" s="30">
        <f>+'Desarrollo Ejercicio n°2 A'!F20</f>
        <v>-1422000</v>
      </c>
      <c r="H58" s="10"/>
      <c r="I58" s="10"/>
      <c r="J58" s="12"/>
    </row>
    <row r="59" spans="2:13" x14ac:dyDescent="0.2">
      <c r="B59" s="9"/>
      <c r="C59" s="13"/>
      <c r="D59" s="22"/>
      <c r="E59" s="29" t="s">
        <v>30</v>
      </c>
      <c r="F59" s="10"/>
      <c r="G59" s="30">
        <v>-5100000</v>
      </c>
      <c r="H59" s="10"/>
      <c r="I59" s="10"/>
      <c r="J59" s="12"/>
    </row>
    <row r="60" spans="2:13" x14ac:dyDescent="0.2">
      <c r="B60" s="9"/>
      <c r="C60" s="13"/>
      <c r="D60" s="22"/>
      <c r="E60" s="29" t="s">
        <v>31</v>
      </c>
      <c r="F60" s="10"/>
      <c r="G60" s="30">
        <v>-2000000</v>
      </c>
      <c r="H60" s="10"/>
      <c r="I60" s="10"/>
      <c r="J60" s="12"/>
    </row>
    <row r="61" spans="2:13" x14ac:dyDescent="0.2">
      <c r="B61" s="9"/>
      <c r="C61" s="13"/>
      <c r="D61" s="22"/>
      <c r="E61" s="29"/>
      <c r="F61" s="10"/>
      <c r="G61" s="23"/>
      <c r="H61" s="10"/>
      <c r="I61" s="10"/>
      <c r="J61" s="12"/>
      <c r="M61" s="1"/>
    </row>
    <row r="62" spans="2:13" x14ac:dyDescent="0.2">
      <c r="B62" s="9"/>
      <c r="C62" s="13"/>
      <c r="D62" s="22"/>
      <c r="E62" s="25" t="s">
        <v>32</v>
      </c>
      <c r="F62" s="10"/>
      <c r="G62" s="23"/>
      <c r="H62" s="10"/>
      <c r="I62" s="10"/>
      <c r="J62" s="12"/>
      <c r="M62" s="1"/>
    </row>
    <row r="63" spans="2:13" x14ac:dyDescent="0.2">
      <c r="B63" s="9"/>
      <c r="C63" s="13"/>
      <c r="D63" s="22"/>
      <c r="E63" s="31" t="s">
        <v>33</v>
      </c>
      <c r="F63" s="10"/>
      <c r="G63" s="23"/>
      <c r="H63" s="10"/>
      <c r="I63" s="10"/>
      <c r="J63" s="12"/>
      <c r="M63" s="1"/>
    </row>
    <row r="64" spans="2:13" x14ac:dyDescent="0.2">
      <c r="B64" s="9"/>
      <c r="C64" s="13"/>
      <c r="D64" s="22"/>
      <c r="E64" s="29"/>
      <c r="F64" s="10"/>
      <c r="G64" s="171"/>
      <c r="H64" s="10"/>
      <c r="I64" s="10"/>
      <c r="J64" s="12"/>
      <c r="M64" s="1"/>
    </row>
    <row r="65" spans="2:15" x14ac:dyDescent="0.2">
      <c r="B65" s="9"/>
      <c r="C65" s="32" t="s">
        <v>34</v>
      </c>
      <c r="D65" s="33"/>
      <c r="E65" s="32"/>
      <c r="F65" s="34"/>
      <c r="G65" s="35"/>
      <c r="H65" s="35"/>
      <c r="I65" s="10"/>
      <c r="J65" s="12"/>
    </row>
    <row r="66" spans="2:15" x14ac:dyDescent="0.2">
      <c r="B66" s="9"/>
      <c r="C66" s="36" t="s">
        <v>35</v>
      </c>
      <c r="D66" s="32" t="s">
        <v>36</v>
      </c>
      <c r="E66" s="32"/>
      <c r="F66" s="34"/>
      <c r="G66" s="35"/>
      <c r="H66" s="35"/>
      <c r="I66" s="10"/>
      <c r="J66" s="12"/>
    </row>
    <row r="67" spans="2:15" x14ac:dyDescent="0.2">
      <c r="B67" s="9"/>
      <c r="C67" s="37"/>
      <c r="D67" s="33"/>
      <c r="E67" s="32"/>
      <c r="F67" s="34"/>
      <c r="G67" s="35"/>
      <c r="H67" s="35"/>
      <c r="I67" s="10"/>
      <c r="J67" s="12"/>
    </row>
    <row r="68" spans="2:15" x14ac:dyDescent="0.2">
      <c r="B68" s="9"/>
      <c r="C68" s="36" t="s">
        <v>37</v>
      </c>
      <c r="D68" s="32" t="s">
        <v>38</v>
      </c>
      <c r="E68" s="32"/>
      <c r="F68" s="34"/>
      <c r="G68" s="35"/>
      <c r="H68" s="35"/>
      <c r="I68" s="10"/>
      <c r="J68" s="12"/>
    </row>
    <row r="69" spans="2:15" s="3" customFormat="1" x14ac:dyDescent="0.2">
      <c r="B69" s="148"/>
      <c r="C69" s="13"/>
      <c r="D69" s="22"/>
      <c r="E69" s="29"/>
      <c r="F69" s="10"/>
      <c r="G69" s="23"/>
      <c r="H69" s="10"/>
      <c r="I69" s="10"/>
      <c r="J69" s="12"/>
      <c r="N69" s="1"/>
      <c r="O69" s="1"/>
    </row>
    <row r="70" spans="2:15" s="3" customFormat="1" x14ac:dyDescent="0.2">
      <c r="B70" s="148"/>
      <c r="C70" s="36" t="s">
        <v>39</v>
      </c>
      <c r="D70" s="32" t="s">
        <v>40</v>
      </c>
      <c r="E70" s="29"/>
      <c r="F70" s="10"/>
      <c r="G70" s="23"/>
      <c r="H70" s="10"/>
      <c r="I70" s="10"/>
      <c r="J70" s="12"/>
      <c r="N70" s="1"/>
      <c r="O70" s="1"/>
    </row>
    <row r="71" spans="2:15" s="3" customFormat="1" ht="12.75" customHeight="1" thickBot="1" x14ac:dyDescent="0.25">
      <c r="B71" s="149"/>
      <c r="C71" s="39"/>
      <c r="D71" s="40"/>
      <c r="E71" s="382"/>
      <c r="F71" s="382"/>
      <c r="G71" s="41"/>
      <c r="H71" s="42"/>
      <c r="I71" s="42"/>
      <c r="J71" s="44"/>
      <c r="N71" s="1"/>
      <c r="O71" s="1"/>
    </row>
    <row r="72" spans="2:15" s="3" customFormat="1" ht="18" x14ac:dyDescent="0.25">
      <c r="C72" s="2"/>
      <c r="D72" s="45"/>
      <c r="E72" s="45"/>
      <c r="F72" s="45"/>
      <c r="G72" s="46"/>
      <c r="H72" s="47"/>
      <c r="I72" s="1"/>
      <c r="J72" s="48"/>
      <c r="N72" s="1"/>
      <c r="O72" s="1"/>
    </row>
    <row r="73" spans="2:15" s="3" customFormat="1" x14ac:dyDescent="0.2">
      <c r="C73" s="2"/>
      <c r="D73" s="1"/>
      <c r="E73" s="49"/>
      <c r="F73" s="1"/>
      <c r="G73" s="50"/>
      <c r="H73" s="1"/>
      <c r="I73" s="1"/>
      <c r="N73" s="1"/>
      <c r="O73" s="1"/>
    </row>
    <row r="74" spans="2:15" s="3" customFormat="1" x14ac:dyDescent="0.2">
      <c r="C74" s="2"/>
      <c r="D74" s="1"/>
      <c r="E74" s="51"/>
      <c r="F74" s="51"/>
      <c r="G74" s="1"/>
      <c r="H74" s="52"/>
      <c r="I74" s="1"/>
      <c r="N74" s="1"/>
      <c r="O74" s="1"/>
    </row>
    <row r="75" spans="2:15" s="3" customFormat="1" ht="12.75" customHeight="1" x14ac:dyDescent="0.2">
      <c r="C75" s="2"/>
      <c r="D75" s="1"/>
      <c r="E75" s="383"/>
      <c r="F75" s="383"/>
      <c r="G75" s="383"/>
      <c r="H75" s="383"/>
      <c r="I75" s="1"/>
      <c r="N75" s="1"/>
      <c r="O75" s="1"/>
    </row>
    <row r="76" spans="2:15" s="3" customFormat="1" x14ac:dyDescent="0.2">
      <c r="C76" s="2"/>
      <c r="D76" s="1"/>
      <c r="E76" s="53"/>
      <c r="F76" s="53"/>
      <c r="G76" s="53"/>
      <c r="H76" s="53"/>
      <c r="I76" s="1"/>
      <c r="N76" s="1"/>
      <c r="O76" s="1"/>
    </row>
    <row r="77" spans="2:15" s="3" customFormat="1" ht="12.75" customHeight="1" x14ac:dyDescent="0.2">
      <c r="C77" s="2"/>
      <c r="D77" s="1"/>
      <c r="E77" s="383"/>
      <c r="F77" s="383"/>
      <c r="G77" s="383"/>
      <c r="H77" s="383"/>
      <c r="I77" s="1"/>
      <c r="N77" s="1"/>
      <c r="O77" s="1"/>
    </row>
    <row r="78" spans="2:15" s="3" customFormat="1" x14ac:dyDescent="0.2">
      <c r="C78" s="2"/>
      <c r="D78" s="1"/>
      <c r="E78" s="377"/>
      <c r="F78" s="377"/>
      <c r="G78" s="377"/>
      <c r="H78" s="377"/>
      <c r="I78" s="1"/>
      <c r="N78" s="1"/>
      <c r="O78" s="1"/>
    </row>
    <row r="79" spans="2:15" s="3" customFormat="1" x14ac:dyDescent="0.2">
      <c r="C79" s="2"/>
      <c r="D79" s="1"/>
      <c r="E79" s="383"/>
      <c r="F79" s="383"/>
      <c r="G79" s="383"/>
      <c r="H79" s="383"/>
      <c r="I79" s="1"/>
      <c r="N79" s="1"/>
      <c r="O79" s="1"/>
    </row>
    <row r="80" spans="2:15" s="3" customFormat="1" x14ac:dyDescent="0.2">
      <c r="C80" s="2"/>
      <c r="D80" s="1"/>
      <c r="E80" s="377"/>
      <c r="F80" s="377"/>
      <c r="G80" s="377"/>
      <c r="H80" s="377"/>
      <c r="I80" s="1"/>
      <c r="N80" s="1"/>
      <c r="O80" s="1"/>
    </row>
  </sheetData>
  <mergeCells count="12">
    <mergeCell ref="E80:H80"/>
    <mergeCell ref="D6:I6"/>
    <mergeCell ref="C8:I10"/>
    <mergeCell ref="C26:I26"/>
    <mergeCell ref="D30:I32"/>
    <mergeCell ref="D34:I35"/>
    <mergeCell ref="D37:I39"/>
    <mergeCell ref="E71:F71"/>
    <mergeCell ref="E75:H75"/>
    <mergeCell ref="E77:H77"/>
    <mergeCell ref="E78:H78"/>
    <mergeCell ref="E79:H79"/>
  </mergeCells>
  <printOptions horizontalCentered="1"/>
  <pageMargins left="0.25" right="0.25" top="0.75" bottom="0.75" header="0.3" footer="0.3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77"/>
  <sheetViews>
    <sheetView showGridLines="0" topLeftCell="A13" zoomScale="124" zoomScaleNormal="124" workbookViewId="0">
      <selection activeCell="G30" sqref="G30"/>
    </sheetView>
  </sheetViews>
  <sheetFormatPr baseColWidth="10" defaultColWidth="9.140625" defaultRowHeight="12.75" x14ac:dyDescent="0.2"/>
  <cols>
    <col min="1" max="2" width="9.140625" style="172"/>
    <col min="3" max="3" width="2.85546875" style="172" bestFit="1" customWidth="1"/>
    <col min="4" max="4" width="59.140625" style="172" bestFit="1" customWidth="1"/>
    <col min="5" max="5" width="8.28515625" style="172" bestFit="1" customWidth="1"/>
    <col min="6" max="7" width="11.42578125" style="172" bestFit="1" customWidth="1"/>
    <col min="8" max="9" width="9.140625" style="172"/>
    <col min="10" max="10" width="10.85546875" style="172" bestFit="1" customWidth="1"/>
    <col min="11" max="11" width="9.85546875" style="172" bestFit="1" customWidth="1"/>
    <col min="12" max="14" width="11.28515625" style="172" bestFit="1" customWidth="1"/>
    <col min="15" max="15" width="4.85546875" style="172" hidden="1" customWidth="1"/>
    <col min="16" max="16" width="12.42578125" style="172" bestFit="1" customWidth="1"/>
    <col min="17" max="17" width="12" style="172" bestFit="1" customWidth="1"/>
    <col min="18" max="18" width="19.5703125" style="172" bestFit="1" customWidth="1"/>
    <col min="19" max="19" width="12.85546875" style="172" bestFit="1" customWidth="1"/>
    <col min="20" max="21" width="11" style="172" bestFit="1" customWidth="1"/>
    <col min="22" max="22" width="9.28515625" style="172" bestFit="1" customWidth="1"/>
    <col min="23" max="16384" width="9.140625" style="172"/>
  </cols>
  <sheetData>
    <row r="1" spans="2:22" ht="13.5" thickBot="1" x14ac:dyDescent="0.25"/>
    <row r="2" spans="2:22" x14ac:dyDescent="0.2">
      <c r="B2" s="173"/>
      <c r="C2" s="174"/>
      <c r="D2" s="5" t="s">
        <v>229</v>
      </c>
      <c r="E2" s="174"/>
      <c r="F2" s="175"/>
      <c r="G2" s="174"/>
      <c r="H2" s="176"/>
    </row>
    <row r="3" spans="2:22" x14ac:dyDescent="0.2">
      <c r="B3" s="177"/>
      <c r="C3" s="178"/>
      <c r="D3" s="10" t="s">
        <v>231</v>
      </c>
      <c r="E3" s="178"/>
      <c r="F3" s="24"/>
      <c r="G3" s="178"/>
      <c r="H3" s="179"/>
    </row>
    <row r="4" spans="2:22" x14ac:dyDescent="0.2">
      <c r="B4" s="177"/>
      <c r="C4" s="178"/>
      <c r="D4" s="10" t="s">
        <v>230</v>
      </c>
      <c r="E4" s="178"/>
      <c r="F4" s="24"/>
      <c r="G4" s="178"/>
      <c r="H4" s="179"/>
    </row>
    <row r="5" spans="2:22" x14ac:dyDescent="0.2">
      <c r="B5" s="177"/>
      <c r="C5" s="178"/>
      <c r="D5" s="178"/>
      <c r="E5" s="178"/>
      <c r="F5" s="178"/>
      <c r="G5" s="178"/>
      <c r="H5" s="179"/>
    </row>
    <row r="6" spans="2:22" x14ac:dyDescent="0.2">
      <c r="B6" s="177"/>
      <c r="C6" s="178"/>
      <c r="D6" s="180" t="s">
        <v>224</v>
      </c>
      <c r="E6" s="178"/>
      <c r="F6" s="178"/>
      <c r="G6" s="178"/>
      <c r="H6" s="179"/>
    </row>
    <row r="7" spans="2:22" x14ac:dyDescent="0.2">
      <c r="B7" s="177"/>
      <c r="C7" s="178"/>
      <c r="D7" s="178"/>
      <c r="E7" s="178"/>
      <c r="F7" s="178"/>
      <c r="G7" s="178"/>
      <c r="H7" s="179"/>
    </row>
    <row r="8" spans="2:22" x14ac:dyDescent="0.2">
      <c r="B8" s="177"/>
      <c r="C8" s="22" t="s">
        <v>42</v>
      </c>
      <c r="D8" s="180" t="s">
        <v>43</v>
      </c>
      <c r="E8" s="178"/>
      <c r="F8" s="178"/>
      <c r="G8" s="178"/>
      <c r="H8" s="179"/>
    </row>
    <row r="9" spans="2:22" x14ac:dyDescent="0.2">
      <c r="B9" s="177"/>
      <c r="C9" s="178"/>
      <c r="D9" s="20" t="s">
        <v>18</v>
      </c>
      <c r="E9" s="24"/>
      <c r="F9" s="24"/>
      <c r="G9" s="63">
        <v>5500000</v>
      </c>
      <c r="H9" s="64"/>
      <c r="R9" s="162"/>
      <c r="S9" s="162"/>
      <c r="T9" s="162"/>
      <c r="U9" s="162"/>
      <c r="V9" s="162"/>
    </row>
    <row r="10" spans="2:22" x14ac:dyDescent="0.2">
      <c r="B10" s="177"/>
      <c r="C10" s="178"/>
      <c r="D10" s="20"/>
      <c r="E10" s="24"/>
      <c r="F10" s="24"/>
      <c r="G10" s="63"/>
      <c r="H10" s="64"/>
      <c r="R10" s="162"/>
      <c r="S10" s="162"/>
      <c r="T10" s="162"/>
      <c r="U10" s="162"/>
      <c r="V10" s="162"/>
    </row>
    <row r="11" spans="2:22" x14ac:dyDescent="0.2">
      <c r="B11" s="177"/>
      <c r="C11" s="178"/>
      <c r="D11" s="25" t="s">
        <v>107</v>
      </c>
      <c r="E11" s="24"/>
      <c r="F11" s="24"/>
      <c r="G11" s="63"/>
      <c r="H11" s="64"/>
      <c r="R11" s="162"/>
      <c r="S11" s="162"/>
      <c r="T11" s="162"/>
      <c r="U11" s="162"/>
      <c r="V11" s="162"/>
    </row>
    <row r="12" spans="2:22" x14ac:dyDescent="0.2">
      <c r="B12" s="177"/>
      <c r="C12" s="178"/>
      <c r="D12" s="24" t="s">
        <v>21</v>
      </c>
      <c r="E12" s="24"/>
      <c r="F12" s="63">
        <f>15000000*3%</f>
        <v>450000</v>
      </c>
      <c r="G12" s="24"/>
      <c r="H12" s="64"/>
      <c r="R12" s="162"/>
      <c r="S12" s="162"/>
      <c r="T12" s="363">
        <v>10000000</v>
      </c>
      <c r="U12" s="364">
        <f>+T12-T13</f>
        <v>7600000</v>
      </c>
      <c r="V12" s="162">
        <f>+T13/U12</f>
        <v>0.31578947368421051</v>
      </c>
    </row>
    <row r="13" spans="2:22" x14ac:dyDescent="0.2">
      <c r="B13" s="177"/>
      <c r="C13" s="178"/>
      <c r="D13" s="24" t="s">
        <v>22</v>
      </c>
      <c r="E13" s="24"/>
      <c r="F13" s="63">
        <v>300000</v>
      </c>
      <c r="G13" s="24"/>
      <c r="H13" s="64"/>
      <c r="R13" s="162"/>
      <c r="S13" s="162"/>
      <c r="T13" s="162">
        <f>+T12*24%</f>
        <v>2400000</v>
      </c>
      <c r="U13" s="162"/>
      <c r="V13" s="162"/>
    </row>
    <row r="14" spans="2:22" x14ac:dyDescent="0.2">
      <c r="B14" s="177"/>
      <c r="C14" s="22"/>
      <c r="D14" s="24" t="s">
        <v>23</v>
      </c>
      <c r="E14" s="24"/>
      <c r="F14" s="63">
        <v>650000</v>
      </c>
      <c r="G14" s="24"/>
      <c r="H14" s="65"/>
      <c r="R14" s="162"/>
      <c r="S14" s="162"/>
      <c r="T14" s="364">
        <f>+T12-T13</f>
        <v>7600000</v>
      </c>
      <c r="U14" s="162"/>
      <c r="V14" s="162"/>
    </row>
    <row r="15" spans="2:22" x14ac:dyDescent="0.2">
      <c r="B15" s="177"/>
      <c r="C15" s="22"/>
      <c r="D15" s="24" t="s">
        <v>24</v>
      </c>
      <c r="E15" s="24"/>
      <c r="F15" s="63">
        <v>1875000</v>
      </c>
      <c r="G15" s="24"/>
      <c r="H15" s="65"/>
      <c r="R15" s="162"/>
      <c r="S15" s="162"/>
      <c r="T15" s="162"/>
      <c r="U15" s="162"/>
      <c r="V15" s="162"/>
    </row>
    <row r="16" spans="2:22" x14ac:dyDescent="0.2">
      <c r="B16" s="177"/>
      <c r="C16" s="22"/>
      <c r="D16" s="24" t="s">
        <v>25</v>
      </c>
      <c r="E16" s="24"/>
      <c r="F16" s="63">
        <v>1250000</v>
      </c>
      <c r="G16" s="24"/>
      <c r="H16" s="65"/>
      <c r="J16" s="162"/>
      <c r="K16" s="162"/>
      <c r="L16" s="162"/>
      <c r="R16" s="162"/>
      <c r="S16" s="162"/>
      <c r="T16" s="364">
        <f>+'Desarrollo Ejercicio n°2 B y C'!K15-'Desarrollo Ejercicio n°2 B y C'!J15</f>
        <v>7820400</v>
      </c>
      <c r="U16" s="162"/>
      <c r="V16" s="162"/>
    </row>
    <row r="17" spans="2:22" x14ac:dyDescent="0.2">
      <c r="B17" s="177"/>
      <c r="C17" s="22"/>
      <c r="D17" s="24" t="s">
        <v>26</v>
      </c>
      <c r="E17" s="24"/>
      <c r="F17" s="63">
        <v>150000</v>
      </c>
      <c r="G17" s="63">
        <f>SUM(F12:F17)</f>
        <v>4675000</v>
      </c>
      <c r="H17" s="65"/>
      <c r="J17" s="162"/>
      <c r="K17" s="162"/>
      <c r="L17" s="162"/>
      <c r="R17" s="162"/>
      <c r="S17" s="162"/>
      <c r="T17" s="364">
        <f>+T16-T14</f>
        <v>220400</v>
      </c>
      <c r="U17" s="162"/>
      <c r="V17" s="162"/>
    </row>
    <row r="18" spans="2:22" x14ac:dyDescent="0.2">
      <c r="B18" s="177"/>
      <c r="C18" s="22"/>
      <c r="D18" s="178"/>
      <c r="E18" s="178"/>
      <c r="F18" s="178"/>
      <c r="G18" s="178"/>
      <c r="H18" s="64"/>
      <c r="J18" s="162"/>
      <c r="K18" s="162"/>
      <c r="L18" s="162"/>
      <c r="R18" s="162"/>
      <c r="S18" s="162"/>
      <c r="T18" s="162"/>
      <c r="U18" s="162"/>
      <c r="V18" s="162"/>
    </row>
    <row r="19" spans="2:22" x14ac:dyDescent="0.2">
      <c r="B19" s="177"/>
      <c r="C19" s="22"/>
      <c r="D19" s="25" t="s">
        <v>108</v>
      </c>
      <c r="E19" s="178"/>
      <c r="F19" s="178"/>
      <c r="G19" s="178"/>
      <c r="H19" s="64"/>
      <c r="J19" s="163" t="s">
        <v>94</v>
      </c>
      <c r="K19" s="163" t="s">
        <v>91</v>
      </c>
      <c r="L19" s="163" t="s">
        <v>95</v>
      </c>
      <c r="R19" s="162"/>
      <c r="S19" s="162"/>
      <c r="T19" s="162"/>
      <c r="U19" s="162"/>
      <c r="V19" s="162"/>
    </row>
    <row r="20" spans="2:22" x14ac:dyDescent="0.2">
      <c r="B20" s="177"/>
      <c r="C20" s="22"/>
      <c r="D20" s="31" t="s">
        <v>29</v>
      </c>
      <c r="E20" s="24"/>
      <c r="F20" s="66">
        <v>-1422000</v>
      </c>
      <c r="G20" s="178"/>
      <c r="H20" s="64"/>
      <c r="J20" s="164">
        <v>50000000</v>
      </c>
      <c r="K20" s="165">
        <v>2.9000000000000001E-2</v>
      </c>
      <c r="L20" s="164">
        <f>+J20*K20</f>
        <v>1450000</v>
      </c>
      <c r="R20" s="162"/>
      <c r="S20" s="162"/>
      <c r="T20" s="162"/>
      <c r="U20" s="162"/>
      <c r="V20" s="162"/>
    </row>
    <row r="21" spans="2:22" x14ac:dyDescent="0.2">
      <c r="B21" s="177"/>
      <c r="C21" s="22"/>
      <c r="D21" s="31" t="s">
        <v>30</v>
      </c>
      <c r="E21" s="24"/>
      <c r="F21" s="66">
        <f>+'Planteamiento Ejercicio n°2'!G59</f>
        <v>-5100000</v>
      </c>
      <c r="G21" s="178"/>
      <c r="H21" s="64"/>
      <c r="J21" s="164">
        <v>-3000000</v>
      </c>
      <c r="K21" s="165">
        <v>8.0000000000000002E-3</v>
      </c>
      <c r="L21" s="164">
        <f t="shared" ref="L21:L22" si="0">+J21*K21</f>
        <v>-24000</v>
      </c>
      <c r="R21" s="162"/>
      <c r="S21" s="162"/>
      <c r="T21" s="162"/>
      <c r="U21" s="162"/>
      <c r="V21" s="162"/>
    </row>
    <row r="22" spans="2:22" x14ac:dyDescent="0.2">
      <c r="B22" s="177"/>
      <c r="C22" s="22"/>
      <c r="D22" s="31" t="s">
        <v>44</v>
      </c>
      <c r="E22" s="24"/>
      <c r="F22" s="66">
        <v>-2000000</v>
      </c>
      <c r="G22" s="24"/>
      <c r="H22" s="64"/>
      <c r="J22" s="164">
        <v>-2000000</v>
      </c>
      <c r="K22" s="165">
        <v>2E-3</v>
      </c>
      <c r="L22" s="164">
        <f t="shared" si="0"/>
        <v>-4000</v>
      </c>
      <c r="R22" s="162"/>
      <c r="S22" s="162"/>
      <c r="T22" s="162"/>
      <c r="U22" s="162"/>
      <c r="V22" s="162"/>
    </row>
    <row r="23" spans="2:22" x14ac:dyDescent="0.2">
      <c r="B23" s="177"/>
      <c r="C23" s="22"/>
      <c r="D23" s="31" t="str">
        <f>+D16</f>
        <v>Gastos por arriendo de Automóviles (Actualizados)</v>
      </c>
      <c r="E23" s="24"/>
      <c r="F23" s="66">
        <f>-F16</f>
        <v>-1250000</v>
      </c>
      <c r="G23" s="66">
        <f>SUM(F20:F23)</f>
        <v>-9772000</v>
      </c>
      <c r="H23" s="64"/>
      <c r="J23" s="164"/>
      <c r="K23" s="162"/>
      <c r="L23" s="166">
        <f>SUM(L20:L22)</f>
        <v>1422000</v>
      </c>
      <c r="R23" s="162"/>
      <c r="S23" s="162"/>
      <c r="T23" s="162"/>
      <c r="U23" s="162"/>
      <c r="V23" s="162"/>
    </row>
    <row r="24" spans="2:22" x14ac:dyDescent="0.2">
      <c r="B24" s="177"/>
      <c r="C24" s="22"/>
      <c r="D24" s="31"/>
      <c r="E24" s="24"/>
      <c r="F24" s="63"/>
      <c r="G24" s="24"/>
      <c r="H24" s="64"/>
      <c r="J24" s="162"/>
      <c r="K24" s="162"/>
      <c r="L24" s="162"/>
    </row>
    <row r="25" spans="2:22" x14ac:dyDescent="0.2">
      <c r="B25" s="177"/>
      <c r="C25" s="22"/>
      <c r="D25" s="67" t="s">
        <v>45</v>
      </c>
      <c r="E25" s="68"/>
      <c r="F25" s="69"/>
      <c r="G25" s="69">
        <f>SUM(G9:G23)</f>
        <v>403000</v>
      </c>
      <c r="H25" s="64"/>
    </row>
    <row r="26" spans="2:22" x14ac:dyDescent="0.2">
      <c r="B26" s="177"/>
      <c r="C26" s="22"/>
      <c r="D26" s="25"/>
      <c r="E26" s="20"/>
      <c r="F26" s="35"/>
      <c r="G26" s="35"/>
      <c r="H26" s="64"/>
    </row>
    <row r="27" spans="2:22" x14ac:dyDescent="0.2">
      <c r="B27" s="177"/>
      <c r="C27" s="22"/>
      <c r="D27" s="31" t="s">
        <v>46</v>
      </c>
      <c r="E27" s="24"/>
      <c r="F27" s="63">
        <v>2000000</v>
      </c>
      <c r="G27" s="35"/>
      <c r="H27" s="64"/>
    </row>
    <row r="28" spans="2:22" x14ac:dyDescent="0.2">
      <c r="B28" s="177"/>
      <c r="C28" s="22"/>
      <c r="D28" s="24" t="s">
        <v>47</v>
      </c>
      <c r="E28" s="24"/>
      <c r="F28" s="63">
        <v>684562</v>
      </c>
      <c r="G28" s="35">
        <f>SUM(F27:F28)</f>
        <v>2684562</v>
      </c>
      <c r="H28" s="64"/>
    </row>
    <row r="29" spans="2:22" x14ac:dyDescent="0.2">
      <c r="B29" s="177"/>
      <c r="C29" s="22"/>
      <c r="D29" s="178"/>
      <c r="E29" s="178"/>
      <c r="F29" s="178"/>
      <c r="G29" s="178"/>
      <c r="H29" s="64"/>
    </row>
    <row r="30" spans="2:22" x14ac:dyDescent="0.2">
      <c r="B30" s="177"/>
      <c r="C30" s="22"/>
      <c r="D30" s="67" t="s">
        <v>48</v>
      </c>
      <c r="E30" s="68"/>
      <c r="F30" s="69"/>
      <c r="G30" s="69">
        <f>SUM(G25:G28)</f>
        <v>3087562</v>
      </c>
      <c r="H30" s="64"/>
    </row>
    <row r="31" spans="2:22" x14ac:dyDescent="0.2">
      <c r="B31" s="177"/>
      <c r="C31" s="22"/>
      <c r="D31" s="25"/>
      <c r="E31" s="20"/>
      <c r="F31" s="35"/>
      <c r="G31" s="35"/>
      <c r="H31" s="64"/>
    </row>
    <row r="32" spans="2:22" x14ac:dyDescent="0.2">
      <c r="B32" s="177"/>
      <c r="C32" s="22"/>
      <c r="D32" s="25" t="s">
        <v>49</v>
      </c>
      <c r="E32" s="70">
        <v>0.25</v>
      </c>
      <c r="F32" s="35"/>
      <c r="G32" s="35">
        <f>ROUND(G30*E32,0)</f>
        <v>771891</v>
      </c>
      <c r="H32" s="64"/>
    </row>
    <row r="33" spans="2:8" x14ac:dyDescent="0.2">
      <c r="B33" s="177"/>
      <c r="C33" s="22"/>
      <c r="D33" s="31"/>
      <c r="E33" s="24"/>
      <c r="F33" s="24"/>
      <c r="G33" s="63"/>
      <c r="H33" s="64"/>
    </row>
    <row r="34" spans="2:8" x14ac:dyDescent="0.2">
      <c r="B34" s="177"/>
      <c r="C34" s="22"/>
      <c r="D34" s="31" t="s">
        <v>109</v>
      </c>
      <c r="E34" s="63">
        <f>(+F27+F28)*25.5%-1</f>
        <v>684562.31</v>
      </c>
      <c r="F34" s="24"/>
      <c r="G34" s="63"/>
      <c r="H34" s="179"/>
    </row>
    <row r="35" spans="2:8" x14ac:dyDescent="0.2">
      <c r="B35" s="177"/>
      <c r="C35" s="22"/>
      <c r="D35" s="31" t="s">
        <v>200</v>
      </c>
      <c r="E35" s="63">
        <f>+E34*65%</f>
        <v>444965.50150000007</v>
      </c>
      <c r="F35" s="24"/>
      <c r="G35" s="66">
        <f>-E35</f>
        <v>-444965.50150000007</v>
      </c>
      <c r="H35" s="179"/>
    </row>
    <row r="36" spans="2:8" x14ac:dyDescent="0.2">
      <c r="B36" s="177"/>
      <c r="C36" s="22"/>
      <c r="D36" s="31"/>
      <c r="E36" s="24"/>
      <c r="F36" s="24"/>
      <c r="G36" s="24"/>
      <c r="H36" s="179"/>
    </row>
    <row r="37" spans="2:8" x14ac:dyDescent="0.2">
      <c r="B37" s="177"/>
      <c r="C37" s="22"/>
      <c r="D37" s="67" t="s">
        <v>96</v>
      </c>
      <c r="E37" s="68"/>
      <c r="F37" s="68"/>
      <c r="G37" s="69">
        <f>SUM(G32:G35)</f>
        <v>326925.49849999993</v>
      </c>
      <c r="H37" s="179"/>
    </row>
    <row r="38" spans="2:8" x14ac:dyDescent="0.2">
      <c r="B38" s="177"/>
      <c r="C38" s="22"/>
      <c r="D38" s="31"/>
      <c r="E38" s="24"/>
      <c r="F38" s="24"/>
      <c r="G38" s="63"/>
      <c r="H38" s="179"/>
    </row>
    <row r="39" spans="2:8" x14ac:dyDescent="0.2">
      <c r="B39" s="177"/>
      <c r="C39" s="22"/>
      <c r="D39" s="182" t="s">
        <v>201</v>
      </c>
      <c r="E39" s="24"/>
      <c r="F39" s="24"/>
      <c r="G39" s="24"/>
      <c r="H39" s="179"/>
    </row>
    <row r="40" spans="2:8" x14ac:dyDescent="0.2">
      <c r="B40" s="177"/>
      <c r="C40" s="22"/>
      <c r="D40" s="25" t="s">
        <v>52</v>
      </c>
      <c r="E40" s="20"/>
      <c r="F40" s="35"/>
      <c r="G40" s="35">
        <f>SUM(G32:G35)</f>
        <v>326925.49849999993</v>
      </c>
      <c r="H40" s="64"/>
    </row>
    <row r="41" spans="2:8" x14ac:dyDescent="0.2">
      <c r="B41" s="177"/>
      <c r="C41" s="22"/>
      <c r="D41" s="25" t="s">
        <v>53</v>
      </c>
      <c r="E41" s="71">
        <v>0.4</v>
      </c>
      <c r="F41" s="35"/>
      <c r="G41" s="35">
        <f>-ROUND(F23*E41,0)</f>
        <v>500000</v>
      </c>
      <c r="H41" s="64"/>
    </row>
    <row r="42" spans="2:8" x14ac:dyDescent="0.2">
      <c r="B42" s="177"/>
      <c r="C42" s="22"/>
      <c r="D42" s="25"/>
      <c r="E42" s="20"/>
      <c r="F42" s="35"/>
      <c r="G42" s="35"/>
      <c r="H42" s="64"/>
    </row>
    <row r="43" spans="2:8" ht="13.5" thickBot="1" x14ac:dyDescent="0.25">
      <c r="B43" s="177"/>
      <c r="C43" s="22"/>
      <c r="D43" s="73" t="s">
        <v>54</v>
      </c>
      <c r="E43" s="74"/>
      <c r="F43" s="75"/>
      <c r="G43" s="75">
        <f>SUM(G40:G41)</f>
        <v>826925.49849999999</v>
      </c>
      <c r="H43" s="64"/>
    </row>
    <row r="44" spans="2:8" ht="13.5" thickBot="1" x14ac:dyDescent="0.25">
      <c r="B44" s="183"/>
      <c r="C44" s="40"/>
      <c r="D44" s="184"/>
      <c r="E44" s="184"/>
      <c r="F44" s="184"/>
      <c r="G44" s="184"/>
      <c r="H44" s="76"/>
    </row>
    <row r="45" spans="2:8" x14ac:dyDescent="0.2">
      <c r="C45" s="78"/>
      <c r="H45" s="79"/>
    </row>
    <row r="46" spans="2:8" x14ac:dyDescent="0.2">
      <c r="C46" s="78"/>
      <c r="H46" s="79"/>
    </row>
    <row r="47" spans="2:8" x14ac:dyDescent="0.2">
      <c r="C47" s="78"/>
      <c r="H47" s="79"/>
    </row>
    <row r="48" spans="2:8" x14ac:dyDescent="0.2">
      <c r="C48" s="78"/>
      <c r="H48" s="79"/>
    </row>
    <row r="49" spans="3:17" x14ac:dyDescent="0.2">
      <c r="C49" s="78"/>
      <c r="H49" s="79"/>
    </row>
    <row r="50" spans="3:17" x14ac:dyDescent="0.2">
      <c r="C50" s="78"/>
      <c r="H50" s="79"/>
    </row>
    <row r="51" spans="3:17" x14ac:dyDescent="0.2">
      <c r="C51" s="78"/>
      <c r="H51" s="79"/>
    </row>
    <row r="52" spans="3:17" x14ac:dyDescent="0.2">
      <c r="C52" s="78"/>
      <c r="H52" s="79"/>
    </row>
    <row r="53" spans="3:17" x14ac:dyDescent="0.2">
      <c r="C53" s="78"/>
      <c r="H53" s="79"/>
    </row>
    <row r="54" spans="3:17" x14ac:dyDescent="0.2">
      <c r="C54" s="78"/>
      <c r="H54" s="79"/>
    </row>
    <row r="55" spans="3:17" x14ac:dyDescent="0.2">
      <c r="C55" s="78"/>
      <c r="H55" s="79"/>
    </row>
    <row r="56" spans="3:17" x14ac:dyDescent="0.2">
      <c r="C56" s="78"/>
      <c r="H56" s="79"/>
    </row>
    <row r="57" spans="3:17" x14ac:dyDescent="0.2">
      <c r="C57" s="78"/>
      <c r="H57" s="79"/>
    </row>
    <row r="58" spans="3:17" x14ac:dyDescent="0.2">
      <c r="C58" s="78"/>
      <c r="H58" s="79"/>
    </row>
    <row r="59" spans="3:17" x14ac:dyDescent="0.2">
      <c r="C59" s="78"/>
      <c r="H59" s="79"/>
    </row>
    <row r="60" spans="3:17" x14ac:dyDescent="0.2">
      <c r="C60" s="78"/>
      <c r="H60" s="79"/>
    </row>
    <row r="61" spans="3:17" x14ac:dyDescent="0.2">
      <c r="C61" s="78"/>
      <c r="H61" s="79"/>
    </row>
    <row r="62" spans="3:17" x14ac:dyDescent="0.2">
      <c r="C62" s="78"/>
      <c r="H62" s="79"/>
      <c r="I62" s="185"/>
      <c r="J62" s="185"/>
      <c r="K62" s="185"/>
      <c r="L62" s="185"/>
      <c r="M62" s="185"/>
      <c r="N62" s="185"/>
      <c r="O62" s="185"/>
      <c r="P62" s="185"/>
      <c r="Q62" s="79"/>
    </row>
    <row r="63" spans="3:17" x14ac:dyDescent="0.2">
      <c r="C63" s="78"/>
      <c r="H63" s="79"/>
      <c r="I63" s="185"/>
      <c r="J63" s="185"/>
      <c r="K63" s="185"/>
      <c r="L63" s="185"/>
      <c r="M63" s="185"/>
      <c r="N63" s="185"/>
      <c r="O63" s="185"/>
      <c r="P63" s="185"/>
      <c r="Q63" s="79"/>
    </row>
    <row r="64" spans="3:17" x14ac:dyDescent="0.2">
      <c r="C64" s="78"/>
      <c r="H64" s="79"/>
      <c r="I64" s="185"/>
      <c r="J64" s="185"/>
      <c r="K64" s="185"/>
      <c r="L64" s="185"/>
      <c r="M64" s="185"/>
      <c r="N64" s="185"/>
      <c r="O64" s="185"/>
      <c r="P64" s="185"/>
      <c r="Q64" s="79"/>
    </row>
    <row r="65" spans="3:17" x14ac:dyDescent="0.2">
      <c r="C65" s="78"/>
      <c r="H65" s="79"/>
      <c r="I65" s="185"/>
      <c r="J65" s="185"/>
      <c r="K65" s="185"/>
      <c r="L65" s="185"/>
      <c r="M65" s="185"/>
      <c r="N65" s="185"/>
      <c r="O65" s="185"/>
      <c r="P65" s="185"/>
      <c r="Q65" s="79"/>
    </row>
    <row r="66" spans="3:17" x14ac:dyDescent="0.2">
      <c r="C66" s="78"/>
      <c r="H66" s="79"/>
      <c r="I66" s="185"/>
      <c r="J66" s="185"/>
      <c r="K66" s="185"/>
      <c r="L66" s="185"/>
      <c r="M66" s="185"/>
      <c r="N66" s="185"/>
      <c r="O66" s="185"/>
      <c r="P66" s="185"/>
      <c r="Q66" s="79"/>
    </row>
    <row r="67" spans="3:17" x14ac:dyDescent="0.2">
      <c r="C67" s="78"/>
      <c r="H67" s="79"/>
      <c r="I67" s="185"/>
      <c r="J67" s="185"/>
      <c r="K67" s="185"/>
      <c r="L67" s="185"/>
      <c r="M67" s="185"/>
      <c r="N67" s="185"/>
      <c r="O67" s="185"/>
      <c r="P67" s="185"/>
      <c r="Q67" s="79"/>
    </row>
    <row r="68" spans="3:17" x14ac:dyDescent="0.2">
      <c r="C68" s="78"/>
      <c r="H68" s="79"/>
      <c r="I68" s="185"/>
      <c r="J68" s="185"/>
      <c r="K68" s="185"/>
      <c r="L68" s="185"/>
      <c r="M68" s="185"/>
      <c r="N68" s="185"/>
      <c r="O68" s="185"/>
      <c r="P68" s="185"/>
      <c r="Q68" s="79"/>
    </row>
    <row r="69" spans="3:17" x14ac:dyDescent="0.2">
      <c r="C69" s="78"/>
      <c r="H69" s="79"/>
      <c r="I69" s="185"/>
      <c r="J69" s="185"/>
      <c r="K69" s="185"/>
      <c r="L69" s="185"/>
      <c r="M69" s="185"/>
      <c r="N69" s="185"/>
      <c r="O69" s="185"/>
      <c r="P69" s="185"/>
      <c r="Q69" s="79"/>
    </row>
    <row r="70" spans="3:17" x14ac:dyDescent="0.2">
      <c r="C70" s="78"/>
      <c r="H70" s="79"/>
      <c r="I70" s="185"/>
      <c r="J70" s="185"/>
      <c r="K70" s="185"/>
      <c r="L70" s="185"/>
      <c r="M70" s="185"/>
      <c r="N70" s="185"/>
      <c r="O70" s="185"/>
      <c r="P70" s="185"/>
      <c r="Q70" s="79"/>
    </row>
    <row r="71" spans="3:17" x14ac:dyDescent="0.2">
      <c r="C71" s="78"/>
      <c r="H71" s="79"/>
      <c r="I71" s="185"/>
      <c r="J71" s="185"/>
      <c r="K71" s="185"/>
      <c r="L71" s="185"/>
      <c r="M71" s="185"/>
      <c r="N71" s="185"/>
      <c r="O71" s="185"/>
      <c r="P71" s="185"/>
      <c r="Q71" s="79"/>
    </row>
    <row r="72" spans="3:17" x14ac:dyDescent="0.2">
      <c r="C72" s="78"/>
      <c r="H72" s="79"/>
      <c r="I72" s="185"/>
      <c r="J72" s="185"/>
      <c r="K72" s="185"/>
      <c r="L72" s="185"/>
      <c r="M72" s="185"/>
      <c r="N72" s="185"/>
      <c r="O72" s="185"/>
      <c r="P72" s="185"/>
      <c r="Q72" s="79"/>
    </row>
    <row r="73" spans="3:17" x14ac:dyDescent="0.2">
      <c r="H73" s="79"/>
      <c r="I73" s="185"/>
      <c r="J73" s="185"/>
    </row>
    <row r="74" spans="3:17" x14ac:dyDescent="0.2">
      <c r="H74" s="79"/>
      <c r="I74" s="185"/>
      <c r="J74" s="185"/>
    </row>
    <row r="75" spans="3:17" x14ac:dyDescent="0.2">
      <c r="H75" s="79"/>
      <c r="I75" s="185"/>
    </row>
    <row r="76" spans="3:17" x14ac:dyDescent="0.2">
      <c r="H76" s="79"/>
      <c r="I76" s="185"/>
    </row>
    <row r="77" spans="3:17" x14ac:dyDescent="0.2">
      <c r="H77" s="79"/>
      <c r="I77" s="185"/>
      <c r="J77" s="185"/>
    </row>
  </sheetData>
  <pageMargins left="0.7" right="0.7" top="0.75" bottom="0.75" header="0.3" footer="0.3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56"/>
  <sheetViews>
    <sheetView showGridLines="0" tabSelected="1" topLeftCell="A22" zoomScale="106" zoomScaleNormal="106" workbookViewId="0">
      <selection activeCell="F36" sqref="F36"/>
    </sheetView>
  </sheetViews>
  <sheetFormatPr baseColWidth="10" defaultColWidth="9.140625" defaultRowHeight="12.75" x14ac:dyDescent="0.2"/>
  <cols>
    <col min="1" max="2" width="9.140625" style="172"/>
    <col min="3" max="3" width="44.140625" style="172" bestFit="1" customWidth="1"/>
    <col min="4" max="4" width="18.85546875" style="172" bestFit="1" customWidth="1"/>
    <col min="5" max="5" width="11.28515625" style="172" bestFit="1" customWidth="1"/>
    <col min="6" max="6" width="12.140625" style="172" bestFit="1" customWidth="1"/>
    <col min="7" max="7" width="11.28515625" style="172" bestFit="1" customWidth="1"/>
    <col min="8" max="8" width="9.28515625" style="172" bestFit="1" customWidth="1"/>
    <col min="9" max="9" width="9.42578125" style="172" bestFit="1" customWidth="1"/>
    <col min="10" max="10" width="12" style="172" bestFit="1" customWidth="1"/>
    <col min="11" max="11" width="11.28515625" style="172" bestFit="1" customWidth="1"/>
    <col min="12" max="13" width="9.140625" style="172"/>
    <col min="14" max="14" width="10" style="172" customWidth="1"/>
    <col min="15" max="15" width="22.28515625" style="172" bestFit="1" customWidth="1"/>
    <col min="16" max="16" width="10.85546875" style="172" bestFit="1" customWidth="1"/>
    <col min="17" max="16384" width="9.140625" style="172"/>
  </cols>
  <sheetData>
    <row r="1" spans="2:12" ht="13.5" thickBot="1" x14ac:dyDescent="0.25"/>
    <row r="2" spans="2:12" x14ac:dyDescent="0.2">
      <c r="B2" s="173"/>
      <c r="C2" s="5" t="s">
        <v>229</v>
      </c>
      <c r="D2" s="174"/>
      <c r="E2" s="174"/>
      <c r="F2" s="174"/>
      <c r="G2" s="174"/>
      <c r="H2" s="174"/>
      <c r="I2" s="174"/>
      <c r="J2" s="174"/>
      <c r="K2" s="174"/>
      <c r="L2" s="176"/>
    </row>
    <row r="3" spans="2:12" x14ac:dyDescent="0.2">
      <c r="B3" s="177"/>
      <c r="C3" s="24" t="s">
        <v>231</v>
      </c>
      <c r="D3" s="178"/>
      <c r="E3" s="178"/>
      <c r="F3" s="178"/>
      <c r="G3" s="178"/>
      <c r="H3" s="178"/>
      <c r="I3" s="178"/>
      <c r="J3" s="178"/>
      <c r="K3" s="178"/>
      <c r="L3" s="179"/>
    </row>
    <row r="4" spans="2:12" x14ac:dyDescent="0.2">
      <c r="B4" s="177"/>
      <c r="C4" s="24" t="s">
        <v>230</v>
      </c>
      <c r="D4" s="178"/>
      <c r="E4" s="178"/>
      <c r="F4" s="178"/>
      <c r="G4" s="178"/>
      <c r="H4" s="178"/>
      <c r="I4" s="178"/>
      <c r="J4" s="178"/>
      <c r="K4" s="178"/>
      <c r="L4" s="179"/>
    </row>
    <row r="5" spans="2:12" x14ac:dyDescent="0.2">
      <c r="B5" s="177"/>
      <c r="C5" s="178"/>
      <c r="D5" s="178"/>
      <c r="E5" s="178"/>
      <c r="F5" s="178"/>
      <c r="G5" s="178"/>
      <c r="H5" s="178"/>
      <c r="I5" s="178"/>
      <c r="J5" s="178"/>
      <c r="K5" s="178"/>
      <c r="L5" s="179"/>
    </row>
    <row r="6" spans="2:12" x14ac:dyDescent="0.2">
      <c r="B6" s="177"/>
      <c r="C6" s="180" t="s">
        <v>224</v>
      </c>
      <c r="D6" s="178"/>
      <c r="E6" s="178"/>
      <c r="F6" s="178"/>
      <c r="G6" s="178"/>
      <c r="H6" s="178"/>
      <c r="I6" s="178"/>
      <c r="J6" s="178"/>
      <c r="K6" s="178"/>
      <c r="L6" s="179"/>
    </row>
    <row r="7" spans="2:12" x14ac:dyDescent="0.2">
      <c r="B7" s="177"/>
      <c r="C7" s="178"/>
      <c r="D7" s="178"/>
      <c r="E7" s="178"/>
      <c r="F7" s="178"/>
      <c r="G7" s="178"/>
      <c r="H7" s="178"/>
      <c r="I7" s="178"/>
      <c r="J7" s="178"/>
      <c r="K7" s="178"/>
      <c r="L7" s="179"/>
    </row>
    <row r="8" spans="2:12" x14ac:dyDescent="0.2">
      <c r="B8" s="177"/>
      <c r="C8" s="180" t="s">
        <v>110</v>
      </c>
      <c r="D8" s="178"/>
      <c r="E8" s="178"/>
      <c r="F8" s="178"/>
      <c r="G8" s="178"/>
      <c r="H8" s="178"/>
      <c r="I8" s="178"/>
      <c r="J8" s="178"/>
      <c r="K8" s="178"/>
      <c r="L8" s="179"/>
    </row>
    <row r="9" spans="2:12" x14ac:dyDescent="0.2">
      <c r="B9" s="177"/>
      <c r="C9" s="386" t="s">
        <v>56</v>
      </c>
      <c r="D9" s="80"/>
      <c r="E9" s="392" t="s">
        <v>57</v>
      </c>
      <c r="F9" s="392" t="s">
        <v>58</v>
      </c>
      <c r="G9" s="392" t="s">
        <v>59</v>
      </c>
      <c r="H9" s="392" t="s">
        <v>60</v>
      </c>
      <c r="I9" s="390" t="s">
        <v>61</v>
      </c>
      <c r="J9" s="390"/>
      <c r="K9" s="392" t="s">
        <v>62</v>
      </c>
      <c r="L9" s="179"/>
    </row>
    <row r="10" spans="2:12" ht="25.5" x14ac:dyDescent="0.2">
      <c r="B10" s="81"/>
      <c r="C10" s="387"/>
      <c r="D10" s="82"/>
      <c r="E10" s="393"/>
      <c r="F10" s="393"/>
      <c r="G10" s="393"/>
      <c r="H10" s="393"/>
      <c r="I10" s="83" t="s">
        <v>63</v>
      </c>
      <c r="J10" s="83" t="s">
        <v>64</v>
      </c>
      <c r="K10" s="393"/>
      <c r="L10" s="179"/>
    </row>
    <row r="11" spans="2:12" x14ac:dyDescent="0.2">
      <c r="B11" s="81"/>
      <c r="C11" s="372"/>
      <c r="D11" s="82"/>
      <c r="E11" s="393"/>
      <c r="F11" s="393"/>
      <c r="G11" s="393"/>
      <c r="H11" s="394"/>
      <c r="I11" s="83"/>
      <c r="J11" s="83">
        <v>0.31578899999999999</v>
      </c>
      <c r="K11" s="393"/>
      <c r="L11" s="179"/>
    </row>
    <row r="12" spans="2:12" ht="25.5" x14ac:dyDescent="0.2">
      <c r="B12" s="81"/>
      <c r="C12" s="372"/>
      <c r="D12" s="82"/>
      <c r="E12" s="394"/>
      <c r="F12" s="394"/>
      <c r="G12" s="394"/>
      <c r="H12" s="376"/>
      <c r="I12" s="83"/>
      <c r="J12" s="83" t="s">
        <v>93</v>
      </c>
      <c r="K12" s="394"/>
      <c r="L12" s="179"/>
    </row>
    <row r="13" spans="2:12" x14ac:dyDescent="0.2">
      <c r="B13" s="81"/>
      <c r="C13" s="99" t="s">
        <v>111</v>
      </c>
      <c r="D13" s="82"/>
      <c r="E13" s="102">
        <f>SUM(F13:H13)</f>
        <v>0</v>
      </c>
      <c r="F13" s="310"/>
      <c r="G13" s="102">
        <v>0</v>
      </c>
      <c r="H13" s="96">
        <v>0</v>
      </c>
      <c r="I13" s="96"/>
      <c r="J13" s="96">
        <v>2400000</v>
      </c>
      <c r="K13" s="96">
        <v>10000000</v>
      </c>
      <c r="L13" s="179"/>
    </row>
    <row r="14" spans="2:12" x14ac:dyDescent="0.2">
      <c r="B14" s="81"/>
      <c r="C14" s="99" t="s">
        <v>112</v>
      </c>
      <c r="D14" s="186">
        <v>2.9000000000000001E-2</v>
      </c>
      <c r="E14" s="102">
        <f>SUM(F14:H14)</f>
        <v>0</v>
      </c>
      <c r="F14" s="312"/>
      <c r="G14" s="102">
        <v>0</v>
      </c>
      <c r="H14" s="138">
        <v>0</v>
      </c>
      <c r="I14" s="138"/>
      <c r="J14" s="138">
        <f>ROUND(J13*D14,0)</f>
        <v>69600</v>
      </c>
      <c r="K14" s="138">
        <f>ROUND(K13*D14,0)</f>
        <v>290000</v>
      </c>
      <c r="L14" s="313"/>
    </row>
    <row r="15" spans="2:12" x14ac:dyDescent="0.2">
      <c r="B15" s="84"/>
      <c r="C15" s="85" t="s">
        <v>65</v>
      </c>
      <c r="D15" s="86"/>
      <c r="E15" s="150">
        <f>SUM(E13:E14)</f>
        <v>0</v>
      </c>
      <c r="F15" s="88">
        <v>0</v>
      </c>
      <c r="G15" s="89">
        <v>0</v>
      </c>
      <c r="H15" s="88">
        <v>0</v>
      </c>
      <c r="I15" s="89">
        <v>0</v>
      </c>
      <c r="J15" s="87">
        <f>SUM(J13:J14)</f>
        <v>2469600</v>
      </c>
      <c r="K15" s="87">
        <f>SUM(K13:K14)</f>
        <v>10290000</v>
      </c>
      <c r="L15" s="179"/>
    </row>
    <row r="16" spans="2:12" x14ac:dyDescent="0.2">
      <c r="B16" s="81"/>
      <c r="C16" s="90" t="s">
        <v>66</v>
      </c>
      <c r="D16" s="91"/>
      <c r="E16" s="92"/>
      <c r="F16" s="314"/>
      <c r="G16" s="311"/>
      <c r="H16" s="314"/>
      <c r="I16" s="95"/>
      <c r="J16" s="96"/>
      <c r="K16" s="315"/>
      <c r="L16" s="98"/>
    </row>
    <row r="17" spans="2:15" x14ac:dyDescent="0.2">
      <c r="B17" s="81"/>
      <c r="C17" s="99" t="s">
        <v>48</v>
      </c>
      <c r="D17" s="100"/>
      <c r="E17" s="101">
        <f>SUM(F17:H17)</f>
        <v>3087562</v>
      </c>
      <c r="F17" s="102">
        <f>+'Desarrollo Ejercicio n°2 A'!G30</f>
        <v>3087562</v>
      </c>
      <c r="G17" s="96"/>
      <c r="H17" s="102"/>
      <c r="I17" s="96"/>
      <c r="J17" s="96"/>
      <c r="K17" s="96"/>
      <c r="L17" s="179"/>
    </row>
    <row r="18" spans="2:15" x14ac:dyDescent="0.2">
      <c r="B18" s="81"/>
      <c r="C18" s="99" t="s">
        <v>67</v>
      </c>
      <c r="D18" s="100"/>
      <c r="E18" s="101">
        <f>SUM(F18:H18)</f>
        <v>3570000</v>
      </c>
      <c r="F18" s="102"/>
      <c r="G18" s="96">
        <f>+F47</f>
        <v>3570000</v>
      </c>
      <c r="H18" s="102"/>
      <c r="I18" s="96"/>
      <c r="J18" s="96"/>
      <c r="K18" s="96"/>
      <c r="L18" s="179"/>
    </row>
    <row r="19" spans="2:15" x14ac:dyDescent="0.2">
      <c r="B19" s="81"/>
      <c r="C19" s="90" t="s">
        <v>68</v>
      </c>
      <c r="D19" s="91"/>
      <c r="E19" s="101"/>
      <c r="F19" s="314"/>
      <c r="G19" s="96"/>
      <c r="H19" s="102"/>
      <c r="I19" s="96"/>
      <c r="J19" s="96"/>
      <c r="K19" s="96"/>
      <c r="L19" s="179"/>
    </row>
    <row r="20" spans="2:15" x14ac:dyDescent="0.2">
      <c r="B20" s="81"/>
      <c r="C20" s="99" t="s">
        <v>113</v>
      </c>
      <c r="D20" s="91"/>
      <c r="E20" s="101"/>
      <c r="G20" s="96"/>
      <c r="H20" s="102"/>
      <c r="I20" s="96"/>
      <c r="J20" s="96"/>
      <c r="K20" s="311">
        <f>(-J13*1.8%)-J13</f>
        <v>-2443200</v>
      </c>
      <c r="L20" s="179"/>
      <c r="N20" s="181"/>
    </row>
    <row r="21" spans="2:15" x14ac:dyDescent="0.2">
      <c r="B21" s="81"/>
      <c r="C21" s="103" t="s">
        <v>26</v>
      </c>
      <c r="D21" s="104"/>
      <c r="E21" s="105">
        <f>SUM(F21:H21)</f>
        <v>-150000</v>
      </c>
      <c r="F21" s="102">
        <f>-'Desarrollo Ejercicio n°2 A'!F17</f>
        <v>-150000</v>
      </c>
      <c r="G21" s="96"/>
      <c r="H21" s="102"/>
      <c r="I21" s="96"/>
      <c r="J21" s="96"/>
      <c r="K21" s="138"/>
      <c r="L21" s="179"/>
    </row>
    <row r="22" spans="2:15" x14ac:dyDescent="0.2">
      <c r="B22" s="81"/>
      <c r="C22" s="187" t="s">
        <v>69</v>
      </c>
      <c r="D22" s="151"/>
      <c r="E22" s="89">
        <f t="shared" ref="E22:K22" si="0">SUM(E15:E21)</f>
        <v>6507562</v>
      </c>
      <c r="F22" s="89">
        <f t="shared" si="0"/>
        <v>2937562</v>
      </c>
      <c r="G22" s="89">
        <f t="shared" si="0"/>
        <v>3570000</v>
      </c>
      <c r="H22" s="89">
        <f t="shared" si="0"/>
        <v>0</v>
      </c>
      <c r="I22" s="89">
        <f t="shared" si="0"/>
        <v>0</v>
      </c>
      <c r="J22" s="89">
        <f t="shared" si="0"/>
        <v>2469600</v>
      </c>
      <c r="K22" s="89">
        <f t="shared" si="0"/>
        <v>7846800</v>
      </c>
      <c r="L22" s="179"/>
      <c r="N22" s="181"/>
    </row>
    <row r="23" spans="2:15" x14ac:dyDescent="0.2">
      <c r="B23" s="81"/>
      <c r="C23" s="187" t="s">
        <v>68</v>
      </c>
      <c r="D23" s="188"/>
      <c r="E23" s="101"/>
      <c r="F23" s="106"/>
      <c r="G23" s="102"/>
      <c r="H23" s="106"/>
      <c r="I23" s="96"/>
      <c r="J23" s="102"/>
      <c r="K23" s="106"/>
      <c r="L23" s="179"/>
    </row>
    <row r="24" spans="2:15" x14ac:dyDescent="0.2">
      <c r="B24" s="81"/>
      <c r="C24" s="99" t="s">
        <v>114</v>
      </c>
      <c r="D24" s="101">
        <f>+F53</f>
        <v>3024000</v>
      </c>
      <c r="E24" s="101">
        <f>SUM(F24:G24)</f>
        <v>-1766649.7868000001</v>
      </c>
      <c r="F24" s="96">
        <f>-(+F22*G53)</f>
        <v>-1766649.7868000001</v>
      </c>
      <c r="H24" s="96"/>
      <c r="I24" s="96"/>
      <c r="J24" s="102"/>
      <c r="K24" s="310"/>
      <c r="L24" s="179"/>
    </row>
    <row r="25" spans="2:15" x14ac:dyDescent="0.2">
      <c r="B25" s="81"/>
      <c r="C25" s="99"/>
      <c r="D25" s="101"/>
      <c r="E25" s="101">
        <f>SUM(F25:G25)</f>
        <v>-1257350.2131999999</v>
      </c>
      <c r="F25" s="96"/>
      <c r="G25" s="102">
        <f>-D24-F24</f>
        <v>-1257350.2131999999</v>
      </c>
      <c r="H25" s="96"/>
      <c r="I25" s="96"/>
      <c r="J25" s="102">
        <f>+K25*J11</f>
        <v>-397057.36647621472</v>
      </c>
      <c r="K25" s="96">
        <f>+G25</f>
        <v>-1257350.2131999999</v>
      </c>
      <c r="L25" s="179"/>
    </row>
    <row r="26" spans="2:15" x14ac:dyDescent="0.2">
      <c r="B26" s="81"/>
      <c r="C26" s="99"/>
      <c r="D26" s="101"/>
      <c r="E26" s="101"/>
      <c r="F26" s="96"/>
      <c r="G26" s="102"/>
      <c r="H26" s="96"/>
      <c r="I26" s="96"/>
      <c r="J26" s="102"/>
      <c r="K26" s="96"/>
      <c r="L26" s="179"/>
    </row>
    <row r="27" spans="2:15" x14ac:dyDescent="0.2">
      <c r="B27" s="81"/>
      <c r="C27" s="99" t="s">
        <v>115</v>
      </c>
      <c r="D27" s="105">
        <f>+F54</f>
        <v>2004000</v>
      </c>
      <c r="E27" s="101">
        <f t="shared" ref="E27:E28" si="1">SUM(F27:G27)</f>
        <v>-1170912.2132000001</v>
      </c>
      <c r="F27" s="96">
        <f>-(+F22*G54)</f>
        <v>-1170912.2132000001</v>
      </c>
      <c r="H27" s="96"/>
      <c r="I27" s="96"/>
      <c r="J27" s="102"/>
      <c r="K27" s="310"/>
      <c r="L27" s="179"/>
    </row>
    <row r="28" spans="2:15" x14ac:dyDescent="0.2">
      <c r="B28" s="81"/>
      <c r="C28" s="309" t="s">
        <v>73</v>
      </c>
      <c r="D28" s="153">
        <f>SUM(D24:D27)</f>
        <v>5028000</v>
      </c>
      <c r="E28" s="101">
        <f t="shared" si="1"/>
        <v>-833087.78679999989</v>
      </c>
      <c r="F28" s="96"/>
      <c r="G28" s="102">
        <f>-D27-F27</f>
        <v>-833087.78679999989</v>
      </c>
      <c r="H28" s="96"/>
      <c r="I28" s="96"/>
      <c r="J28" s="102">
        <f>+K28*J11</f>
        <v>-263079.95910578518</v>
      </c>
      <c r="K28" s="96">
        <f>+G28</f>
        <v>-833087.78679999989</v>
      </c>
      <c r="L28" s="179"/>
    </row>
    <row r="29" spans="2:15" x14ac:dyDescent="0.2">
      <c r="B29" s="81"/>
      <c r="C29" s="309"/>
      <c r="D29" s="153"/>
      <c r="E29" s="101"/>
      <c r="F29" s="96"/>
      <c r="G29" s="102"/>
      <c r="H29" s="96"/>
      <c r="I29" s="96"/>
      <c r="J29" s="102"/>
      <c r="K29" s="96"/>
      <c r="L29" s="179"/>
    </row>
    <row r="30" spans="2:15" x14ac:dyDescent="0.2">
      <c r="B30" s="81"/>
      <c r="C30" s="189"/>
      <c r="D30" s="105"/>
      <c r="E30" s="101"/>
      <c r="F30" s="138"/>
      <c r="G30" s="102"/>
      <c r="H30" s="312"/>
      <c r="I30" s="310"/>
      <c r="J30" s="178"/>
      <c r="K30" s="312"/>
      <c r="L30" s="179"/>
    </row>
    <row r="31" spans="2:15" x14ac:dyDescent="0.2">
      <c r="B31" s="177"/>
      <c r="C31" s="316" t="s">
        <v>116</v>
      </c>
      <c r="D31" s="152"/>
      <c r="E31" s="89">
        <f t="shared" ref="E31:K31" si="2">SUM(E22:E29)</f>
        <v>1479562</v>
      </c>
      <c r="F31" s="88">
        <f t="shared" si="2"/>
        <v>0</v>
      </c>
      <c r="G31" s="89">
        <f t="shared" si="2"/>
        <v>1479562</v>
      </c>
      <c r="H31" s="88">
        <f t="shared" si="2"/>
        <v>0</v>
      </c>
      <c r="I31" s="89">
        <f t="shared" si="2"/>
        <v>0</v>
      </c>
      <c r="J31" s="88">
        <f t="shared" si="2"/>
        <v>1809462.674418</v>
      </c>
      <c r="K31" s="89">
        <f t="shared" si="2"/>
        <v>5756362</v>
      </c>
      <c r="L31" s="179"/>
      <c r="N31" s="172">
        <f>+J31/K31</f>
        <v>0.31434136255120859</v>
      </c>
      <c r="O31" s="172" t="s">
        <v>212</v>
      </c>
    </row>
    <row r="32" spans="2:15" x14ac:dyDescent="0.2">
      <c r="B32" s="177"/>
      <c r="C32" s="178"/>
      <c r="D32" s="112"/>
      <c r="E32" s="66"/>
      <c r="F32" s="66"/>
      <c r="G32" s="66"/>
      <c r="H32" s="66"/>
      <c r="I32" s="66"/>
      <c r="J32" s="291"/>
      <c r="K32" s="66"/>
      <c r="L32" s="179"/>
    </row>
    <row r="33" spans="2:12" x14ac:dyDescent="0.2">
      <c r="B33" s="177"/>
      <c r="C33" s="178"/>
      <c r="D33" s="112"/>
      <c r="E33" s="112"/>
      <c r="F33" s="178"/>
      <c r="G33" s="178"/>
      <c r="H33" s="178"/>
      <c r="I33" s="178"/>
      <c r="J33" s="178"/>
      <c r="K33" s="317"/>
      <c r="L33" s="179"/>
    </row>
    <row r="34" spans="2:12" x14ac:dyDescent="0.2">
      <c r="B34" s="81"/>
      <c r="C34" s="180" t="s">
        <v>75</v>
      </c>
      <c r="D34" s="318" t="s">
        <v>76</v>
      </c>
      <c r="E34" s="318" t="s">
        <v>77</v>
      </c>
      <c r="F34" s="178"/>
      <c r="G34" s="178"/>
      <c r="H34" s="178"/>
      <c r="I34" s="178"/>
      <c r="J34" s="178"/>
      <c r="K34" s="178"/>
      <c r="L34" s="179"/>
    </row>
    <row r="35" spans="2:12" x14ac:dyDescent="0.2">
      <c r="B35" s="81"/>
      <c r="C35" s="178"/>
      <c r="D35" s="178"/>
      <c r="E35" s="178"/>
      <c r="F35" s="178"/>
      <c r="G35" s="178"/>
      <c r="H35" s="178"/>
      <c r="I35" s="178"/>
      <c r="J35" s="178"/>
      <c r="K35" s="178"/>
      <c r="L35" s="179"/>
    </row>
    <row r="36" spans="2:12" x14ac:dyDescent="0.2">
      <c r="B36" s="81"/>
      <c r="C36" s="178" t="s">
        <v>78</v>
      </c>
      <c r="D36" s="319">
        <f>+'Desarrollo Ejercicio n°2 A'!G30*50%</f>
        <v>1543781</v>
      </c>
      <c r="E36" s="319">
        <f>+'Desarrollo Ejercicio n°2 A'!G30*50%</f>
        <v>1543781</v>
      </c>
      <c r="F36" s="418">
        <f>+E36+D36</f>
        <v>3087562</v>
      </c>
      <c r="G36" s="178"/>
      <c r="H36" s="178"/>
      <c r="I36" s="178"/>
      <c r="J36" s="178"/>
      <c r="K36" s="178"/>
      <c r="L36" s="179"/>
    </row>
    <row r="37" spans="2:12" x14ac:dyDescent="0.2">
      <c r="B37" s="81"/>
      <c r="C37" s="178" t="s">
        <v>79</v>
      </c>
      <c r="D37" s="320">
        <f>-G25</f>
        <v>1257350.2131999999</v>
      </c>
      <c r="E37" s="320">
        <f>-G28</f>
        <v>833087.78679999989</v>
      </c>
      <c r="F37" s="178"/>
      <c r="G37" s="178"/>
      <c r="H37" s="178"/>
      <c r="I37" s="178"/>
      <c r="J37" s="178"/>
      <c r="K37" s="178"/>
      <c r="L37" s="179"/>
    </row>
    <row r="38" spans="2:12" x14ac:dyDescent="0.2">
      <c r="B38" s="81"/>
      <c r="C38" s="178"/>
      <c r="D38" s="321"/>
      <c r="E38" s="321"/>
      <c r="F38" s="178"/>
      <c r="G38" s="178"/>
      <c r="H38" s="178"/>
      <c r="I38" s="322"/>
      <c r="J38" s="178"/>
      <c r="K38" s="178"/>
      <c r="L38" s="179"/>
    </row>
    <row r="39" spans="2:12" x14ac:dyDescent="0.2">
      <c r="B39" s="81"/>
      <c r="C39" s="323" t="s">
        <v>80</v>
      </c>
      <c r="D39" s="118">
        <f>SUM(D36:D38)</f>
        <v>2801131.2132000001</v>
      </c>
      <c r="E39" s="119">
        <f>SUM(E36:E38)</f>
        <v>2376868.7867999999</v>
      </c>
      <c r="F39" s="178"/>
      <c r="G39" s="178"/>
      <c r="H39" s="178"/>
      <c r="I39" s="178"/>
      <c r="J39" s="178"/>
      <c r="K39" s="178"/>
      <c r="L39" s="179"/>
    </row>
    <row r="40" spans="2:12" x14ac:dyDescent="0.2">
      <c r="B40" s="81"/>
      <c r="C40" s="112"/>
      <c r="D40" s="112"/>
      <c r="E40" s="112"/>
      <c r="F40" s="178"/>
      <c r="G40" s="178"/>
      <c r="H40" s="178"/>
      <c r="I40" s="178"/>
      <c r="J40" s="317"/>
      <c r="K40" s="317"/>
      <c r="L40" s="179"/>
    </row>
    <row r="41" spans="2:12" x14ac:dyDescent="0.2">
      <c r="B41" s="81"/>
      <c r="C41" s="112"/>
      <c r="D41" s="112"/>
      <c r="E41" s="112"/>
      <c r="F41" s="178"/>
      <c r="G41" s="178"/>
      <c r="H41" s="178"/>
      <c r="I41" s="178"/>
      <c r="J41" s="178"/>
      <c r="K41" s="178"/>
      <c r="L41" s="179"/>
    </row>
    <row r="42" spans="2:12" x14ac:dyDescent="0.2">
      <c r="B42" s="81"/>
      <c r="C42" s="112"/>
      <c r="D42" s="112"/>
      <c r="E42" s="112"/>
      <c r="F42" s="178"/>
      <c r="G42" s="178"/>
      <c r="H42" s="178"/>
      <c r="I42" s="178"/>
      <c r="J42" s="178"/>
      <c r="K42" s="178"/>
      <c r="L42" s="179"/>
    </row>
    <row r="43" spans="2:12" x14ac:dyDescent="0.2">
      <c r="B43" s="81"/>
      <c r="C43" s="178"/>
      <c r="D43" s="178"/>
      <c r="E43" s="178"/>
      <c r="F43" s="178"/>
      <c r="G43" s="178"/>
      <c r="H43" s="178"/>
      <c r="I43" s="178"/>
      <c r="J43" s="178"/>
      <c r="K43" s="178"/>
      <c r="L43" s="324"/>
    </row>
    <row r="44" spans="2:12" x14ac:dyDescent="0.2">
      <c r="B44" s="81"/>
      <c r="C44" s="325" t="s">
        <v>81</v>
      </c>
      <c r="D44" s="178"/>
      <c r="E44" s="178"/>
      <c r="F44" s="178"/>
      <c r="G44" s="178"/>
      <c r="H44" s="178"/>
      <c r="I44" s="178"/>
      <c r="J44" s="178"/>
      <c r="K44" s="178"/>
      <c r="L44" s="179"/>
    </row>
    <row r="45" spans="2:12" x14ac:dyDescent="0.2">
      <c r="B45" s="81"/>
      <c r="C45" s="178"/>
      <c r="D45" s="178"/>
      <c r="E45" s="178"/>
      <c r="F45" s="178"/>
      <c r="G45" s="178"/>
      <c r="H45" s="178"/>
      <c r="I45" s="178"/>
      <c r="J45" s="178"/>
      <c r="K45" s="178"/>
      <c r="L45" s="179"/>
    </row>
    <row r="46" spans="2:12" x14ac:dyDescent="0.2">
      <c r="B46" s="81"/>
      <c r="C46" s="121" t="s">
        <v>82</v>
      </c>
      <c r="D46" s="374" t="s">
        <v>83</v>
      </c>
      <c r="E46" s="374" t="s">
        <v>84</v>
      </c>
      <c r="F46" s="326" t="s">
        <v>59</v>
      </c>
      <c r="G46" s="178"/>
      <c r="H46" s="178"/>
      <c r="I46" s="178"/>
      <c r="J46" s="178"/>
      <c r="K46" s="178"/>
      <c r="L46" s="179"/>
    </row>
    <row r="47" spans="2:12" x14ac:dyDescent="0.2">
      <c r="B47" s="81"/>
      <c r="C47" s="124">
        <f>-+'Planteamiento Ejercicio n°2'!G59*3</f>
        <v>15300000</v>
      </c>
      <c r="D47" s="190">
        <f>+C47/10</f>
        <v>1530000</v>
      </c>
      <c r="E47" s="190">
        <f>-+'Desarrollo Ejercicio n°2 A'!F21</f>
        <v>5100000</v>
      </c>
      <c r="F47" s="191">
        <f>-+'Planteamiento Ejercicio n°2'!G59-D47</f>
        <v>3570000</v>
      </c>
      <c r="G47" s="178"/>
      <c r="H47" s="178"/>
      <c r="I47" s="178"/>
      <c r="J47" s="178"/>
      <c r="K47" s="178"/>
      <c r="L47" s="179"/>
    </row>
    <row r="48" spans="2:12" x14ac:dyDescent="0.2">
      <c r="B48" s="81"/>
      <c r="C48" s="112"/>
      <c r="D48" s="112"/>
      <c r="E48" s="112"/>
      <c r="F48" s="178"/>
      <c r="G48" s="178"/>
      <c r="H48" s="112"/>
      <c r="I48" s="112"/>
      <c r="J48" s="24"/>
      <c r="K48" s="178"/>
      <c r="L48" s="179"/>
    </row>
    <row r="49" spans="2:15" ht="25.5" x14ac:dyDescent="0.2">
      <c r="B49" s="81"/>
      <c r="C49" s="371" t="s">
        <v>85</v>
      </c>
      <c r="D49" s="83" t="s">
        <v>86</v>
      </c>
      <c r="E49" s="80" t="s">
        <v>87</v>
      </c>
      <c r="F49" s="178"/>
      <c r="G49" s="178"/>
      <c r="H49" s="112"/>
      <c r="I49" s="112"/>
      <c r="J49" s="24"/>
      <c r="K49" s="178"/>
      <c r="L49" s="179"/>
      <c r="O49" s="308"/>
    </row>
    <row r="50" spans="2:15" x14ac:dyDescent="0.2">
      <c r="B50" s="81"/>
      <c r="C50" s="327">
        <v>2000000</v>
      </c>
      <c r="D50" s="129">
        <v>0.342281</v>
      </c>
      <c r="E50" s="328">
        <f>C50*D50</f>
        <v>684562</v>
      </c>
      <c r="F50" s="178"/>
      <c r="G50" s="178"/>
      <c r="H50" s="112"/>
      <c r="I50" s="112"/>
      <c r="J50" s="24"/>
      <c r="K50" s="178"/>
      <c r="L50" s="179"/>
    </row>
    <row r="51" spans="2:15" x14ac:dyDescent="0.2">
      <c r="B51" s="81"/>
      <c r="C51" s="112"/>
      <c r="D51" s="112"/>
      <c r="E51" s="112"/>
      <c r="F51" s="112"/>
      <c r="G51" s="112"/>
      <c r="H51" s="112"/>
      <c r="I51" s="112"/>
      <c r="J51" s="24"/>
      <c r="K51" s="178"/>
      <c r="L51" s="179"/>
    </row>
    <row r="52" spans="2:15" x14ac:dyDescent="0.2">
      <c r="B52" s="81"/>
      <c r="C52" s="178"/>
      <c r="D52" s="375" t="s">
        <v>88</v>
      </c>
      <c r="E52" s="375" t="s">
        <v>89</v>
      </c>
      <c r="F52" s="373" t="s">
        <v>90</v>
      </c>
      <c r="G52" s="375" t="s">
        <v>91</v>
      </c>
      <c r="H52" s="112"/>
      <c r="I52" s="112"/>
      <c r="J52" s="24"/>
      <c r="K52" s="178"/>
      <c r="L52" s="179"/>
    </row>
    <row r="53" spans="2:15" x14ac:dyDescent="0.2">
      <c r="B53" s="81"/>
      <c r="C53" s="329" t="s">
        <v>76</v>
      </c>
      <c r="D53" s="106">
        <v>3000000</v>
      </c>
      <c r="E53" s="134">
        <v>8.0000000000000002E-3</v>
      </c>
      <c r="F53" s="135">
        <f>ROUND(D53*E53,0)+D53</f>
        <v>3024000</v>
      </c>
      <c r="G53" s="136">
        <f>ROUND(F53/F55,4)</f>
        <v>0.60140000000000005</v>
      </c>
      <c r="H53" s="112"/>
      <c r="I53" s="112"/>
      <c r="J53" s="24"/>
      <c r="K53" s="178"/>
      <c r="L53" s="179"/>
    </row>
    <row r="54" spans="2:15" x14ac:dyDescent="0.2">
      <c r="B54" s="81"/>
      <c r="C54" s="316" t="s">
        <v>77</v>
      </c>
      <c r="D54" s="138">
        <v>2000000</v>
      </c>
      <c r="E54" s="139">
        <v>2E-3</v>
      </c>
      <c r="F54" s="126">
        <f>ROUND(D54*E54,0)+D54</f>
        <v>2004000</v>
      </c>
      <c r="G54" s="140">
        <f>ROUND(F54/F55,4)</f>
        <v>0.39860000000000001</v>
      </c>
      <c r="H54" s="112"/>
      <c r="I54" s="112"/>
      <c r="J54" s="24"/>
      <c r="K54" s="178"/>
      <c r="L54" s="179"/>
    </row>
    <row r="55" spans="2:15" x14ac:dyDescent="0.2">
      <c r="B55" s="81"/>
      <c r="C55" s="112"/>
      <c r="D55" s="112"/>
      <c r="E55" s="112"/>
      <c r="F55" s="141">
        <f>SUM(F53:F54)</f>
        <v>5028000</v>
      </c>
      <c r="G55" s="142">
        <v>1</v>
      </c>
      <c r="H55" s="112"/>
      <c r="I55" s="112"/>
      <c r="J55" s="24"/>
      <c r="K55" s="178"/>
      <c r="L55" s="179"/>
    </row>
    <row r="56" spans="2:15" ht="13.5" thickBot="1" x14ac:dyDescent="0.25">
      <c r="B56" s="183"/>
      <c r="C56" s="184"/>
      <c r="D56" s="184"/>
      <c r="E56" s="184"/>
      <c r="F56" s="184"/>
      <c r="G56" s="184"/>
      <c r="H56" s="184"/>
      <c r="I56" s="184"/>
      <c r="J56" s="184"/>
      <c r="K56" s="184"/>
      <c r="L56" s="330"/>
    </row>
  </sheetData>
  <mergeCells count="7">
    <mergeCell ref="K9:K12"/>
    <mergeCell ref="C9:C10"/>
    <mergeCell ref="E9:E12"/>
    <mergeCell ref="F9:F12"/>
    <mergeCell ref="G9:G12"/>
    <mergeCell ref="H9:H11"/>
    <mergeCell ref="I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71"/>
  <sheetViews>
    <sheetView showGridLines="0" topLeftCell="A2" zoomScale="118" zoomScaleNormal="118" workbookViewId="0">
      <selection activeCell="C2" sqref="C2:C4"/>
    </sheetView>
  </sheetViews>
  <sheetFormatPr baseColWidth="10" defaultColWidth="11.42578125" defaultRowHeight="12.75" x14ac:dyDescent="0.2"/>
  <cols>
    <col min="1" max="1" width="11.42578125" style="1"/>
    <col min="2" max="2" width="7" style="1" customWidth="1"/>
    <col min="3" max="3" width="3.5703125" style="2" bestFit="1" customWidth="1"/>
    <col min="4" max="4" width="3.85546875" style="1" customWidth="1"/>
    <col min="5" max="5" width="52.42578125" style="1" bestFit="1" customWidth="1"/>
    <col min="6" max="6" width="11.42578125" style="1"/>
    <col min="7" max="7" width="11.85546875" style="1" bestFit="1" customWidth="1"/>
    <col min="8" max="8" width="14" style="1" bestFit="1" customWidth="1"/>
    <col min="9" max="9" width="11.42578125" style="1"/>
    <col min="10" max="10" width="10.5703125" style="3" bestFit="1" customWidth="1"/>
    <col min="11" max="12" width="11.28515625" style="3" bestFit="1" customWidth="1"/>
    <col min="13" max="13" width="16.28515625" style="3" bestFit="1" customWidth="1"/>
    <col min="14" max="14" width="15.140625" style="1" bestFit="1" customWidth="1"/>
    <col min="15" max="16384" width="11.42578125" style="1"/>
  </cols>
  <sheetData>
    <row r="1" spans="2:10" ht="13.5" thickBot="1" x14ac:dyDescent="0.25"/>
    <row r="2" spans="2:10" x14ac:dyDescent="0.2">
      <c r="B2" s="4"/>
      <c r="C2" s="5" t="s">
        <v>229</v>
      </c>
      <c r="D2" s="6"/>
      <c r="E2" s="6"/>
      <c r="F2" s="6"/>
      <c r="G2" s="6"/>
      <c r="H2" s="6"/>
      <c r="I2" s="6"/>
      <c r="J2" s="8"/>
    </row>
    <row r="3" spans="2:10" x14ac:dyDescent="0.2">
      <c r="B3" s="9"/>
      <c r="C3" s="10" t="s">
        <v>231</v>
      </c>
      <c r="E3" s="10"/>
      <c r="F3" s="10"/>
      <c r="G3" s="10"/>
      <c r="H3" s="10"/>
      <c r="I3" s="10"/>
      <c r="J3" s="12"/>
    </row>
    <row r="4" spans="2:10" x14ac:dyDescent="0.2">
      <c r="B4" s="9"/>
      <c r="C4" s="10" t="s">
        <v>230</v>
      </c>
      <c r="E4" s="10"/>
      <c r="F4" s="10"/>
      <c r="G4" s="10"/>
      <c r="H4" s="10"/>
      <c r="I4" s="10"/>
      <c r="J4" s="12"/>
    </row>
    <row r="5" spans="2:10" x14ac:dyDescent="0.2">
      <c r="B5" s="9"/>
      <c r="C5" s="13"/>
      <c r="D5" s="10"/>
      <c r="E5" s="10"/>
      <c r="F5" s="10"/>
      <c r="G5" s="10"/>
      <c r="H5" s="10"/>
      <c r="I5" s="10"/>
      <c r="J5" s="12"/>
    </row>
    <row r="6" spans="2:10" ht="15.75" x14ac:dyDescent="0.25">
      <c r="B6" s="9"/>
      <c r="C6" s="13"/>
      <c r="D6" s="378" t="s">
        <v>223</v>
      </c>
      <c r="E6" s="378"/>
      <c r="F6" s="378"/>
      <c r="G6" s="378"/>
      <c r="H6" s="378"/>
      <c r="I6" s="378"/>
      <c r="J6" s="12"/>
    </row>
    <row r="7" spans="2:10" x14ac:dyDescent="0.2">
      <c r="B7" s="9"/>
      <c r="C7" s="13"/>
      <c r="D7" s="10"/>
      <c r="E7" s="10"/>
      <c r="F7" s="10"/>
      <c r="G7" s="10"/>
      <c r="H7" s="10"/>
      <c r="I7" s="10"/>
      <c r="J7" s="12"/>
    </row>
    <row r="8" spans="2:10" ht="12.75" customHeight="1" x14ac:dyDescent="0.2">
      <c r="B8" s="9"/>
      <c r="C8" s="379" t="s">
        <v>117</v>
      </c>
      <c r="D8" s="379"/>
      <c r="E8" s="379"/>
      <c r="F8" s="379"/>
      <c r="G8" s="379"/>
      <c r="H8" s="379"/>
      <c r="I8" s="379"/>
      <c r="J8" s="12"/>
    </row>
    <row r="9" spans="2:10" x14ac:dyDescent="0.2">
      <c r="B9" s="9"/>
      <c r="C9" s="379"/>
      <c r="D9" s="379"/>
      <c r="E9" s="379"/>
      <c r="F9" s="379"/>
      <c r="G9" s="379"/>
      <c r="H9" s="379"/>
      <c r="I9" s="379"/>
      <c r="J9" s="12"/>
    </row>
    <row r="10" spans="2:10" ht="35.25" customHeight="1" x14ac:dyDescent="0.2">
      <c r="B10" s="9"/>
      <c r="C10" s="379"/>
      <c r="D10" s="379"/>
      <c r="E10" s="379"/>
      <c r="F10" s="379"/>
      <c r="G10" s="379"/>
      <c r="H10" s="379"/>
      <c r="I10" s="379"/>
      <c r="J10" s="12"/>
    </row>
    <row r="11" spans="2:10" x14ac:dyDescent="0.2">
      <c r="B11" s="9"/>
      <c r="C11" s="13"/>
      <c r="D11" s="155"/>
      <c r="E11" s="155"/>
      <c r="F11" s="155"/>
      <c r="G11" s="155"/>
      <c r="H11" s="155"/>
      <c r="I11" s="155"/>
      <c r="J11" s="12"/>
    </row>
    <row r="12" spans="2:10" x14ac:dyDescent="0.2">
      <c r="B12" s="9"/>
      <c r="C12" s="13" t="s">
        <v>2</v>
      </c>
      <c r="D12" s="380" t="s">
        <v>118</v>
      </c>
      <c r="E12" s="380"/>
      <c r="F12" s="380"/>
      <c r="G12" s="380"/>
      <c r="H12" s="380"/>
      <c r="I12" s="380"/>
      <c r="J12" s="12"/>
    </row>
    <row r="13" spans="2:10" x14ac:dyDescent="0.2">
      <c r="B13" s="9"/>
      <c r="C13" s="13"/>
      <c r="D13" s="380"/>
      <c r="E13" s="380"/>
      <c r="F13" s="380"/>
      <c r="G13" s="380"/>
      <c r="H13" s="380"/>
      <c r="I13" s="380"/>
      <c r="J13" s="12"/>
    </row>
    <row r="14" spans="2:10" x14ac:dyDescent="0.2">
      <c r="B14" s="9"/>
      <c r="C14" s="13"/>
      <c r="D14" s="156"/>
      <c r="E14" s="156"/>
      <c r="F14" s="156"/>
      <c r="G14" s="156"/>
      <c r="H14" s="156"/>
      <c r="I14" s="156"/>
      <c r="J14" s="12"/>
    </row>
    <row r="15" spans="2:10" x14ac:dyDescent="0.2">
      <c r="B15" s="9"/>
      <c r="C15" s="13"/>
      <c r="D15" s="192" t="s">
        <v>119</v>
      </c>
      <c r="E15" s="156"/>
      <c r="F15" s="156"/>
      <c r="G15" s="156"/>
      <c r="H15" s="156"/>
      <c r="I15" s="156"/>
      <c r="J15" s="12"/>
    </row>
    <row r="16" spans="2:10" x14ac:dyDescent="0.2">
      <c r="B16" s="9"/>
      <c r="C16" s="13"/>
      <c r="D16" s="192" t="s">
        <v>120</v>
      </c>
      <c r="E16" s="156"/>
      <c r="F16" s="156"/>
      <c r="G16" s="156"/>
      <c r="H16" s="156"/>
      <c r="I16" s="156"/>
      <c r="J16" s="12"/>
    </row>
    <row r="17" spans="2:15" x14ac:dyDescent="0.2">
      <c r="B17" s="9"/>
      <c r="C17" s="13"/>
      <c r="D17" s="192"/>
      <c r="E17" s="156"/>
      <c r="F17" s="156"/>
      <c r="G17" s="156"/>
      <c r="H17" s="156"/>
      <c r="I17" s="156"/>
      <c r="J17" s="12"/>
    </row>
    <row r="18" spans="2:15" x14ac:dyDescent="0.2">
      <c r="B18" s="9"/>
      <c r="C18" s="13"/>
      <c r="D18" s="193" t="s">
        <v>121</v>
      </c>
      <c r="E18" s="156"/>
      <c r="F18" s="156"/>
      <c r="G18" s="156"/>
      <c r="H18" s="156"/>
      <c r="I18" s="156"/>
      <c r="J18" s="12"/>
    </row>
    <row r="19" spans="2:15" x14ac:dyDescent="0.2">
      <c r="B19" s="9"/>
      <c r="C19" s="13"/>
      <c r="D19" s="192"/>
      <c r="E19" s="156"/>
      <c r="F19" s="156"/>
      <c r="G19" s="156"/>
      <c r="H19" s="156"/>
      <c r="I19" s="156"/>
      <c r="J19" s="12"/>
    </row>
    <row r="20" spans="2:15" x14ac:dyDescent="0.2">
      <c r="B20" s="9"/>
      <c r="C20" s="13" t="s">
        <v>4</v>
      </c>
      <c r="D20" s="10" t="s">
        <v>5</v>
      </c>
      <c r="E20" s="15"/>
      <c r="F20" s="15"/>
      <c r="G20" s="15"/>
      <c r="H20" s="15"/>
      <c r="I20" s="10"/>
      <c r="J20" s="12"/>
    </row>
    <row r="21" spans="2:15" x14ac:dyDescent="0.2">
      <c r="B21" s="9"/>
      <c r="C21" s="13"/>
      <c r="D21" s="10"/>
      <c r="E21" s="15"/>
      <c r="F21" s="15"/>
      <c r="G21" s="15"/>
      <c r="H21" s="15"/>
      <c r="I21" s="10"/>
      <c r="J21" s="12"/>
    </row>
    <row r="22" spans="2:15" ht="12.75" customHeight="1" x14ac:dyDescent="0.2">
      <c r="B22" s="9"/>
      <c r="C22" s="13" t="s">
        <v>6</v>
      </c>
      <c r="D22" s="381" t="s">
        <v>7</v>
      </c>
      <c r="E22" s="381"/>
      <c r="F22" s="381"/>
      <c r="G22" s="381"/>
      <c r="H22" s="381"/>
      <c r="I22" s="381"/>
      <c r="J22" s="12"/>
      <c r="N22" s="16"/>
      <c r="O22" s="17"/>
    </row>
    <row r="23" spans="2:15" x14ac:dyDescent="0.2">
      <c r="B23" s="9"/>
      <c r="C23" s="10"/>
      <c r="D23" s="381"/>
      <c r="E23" s="381"/>
      <c r="F23" s="381"/>
      <c r="G23" s="381"/>
      <c r="H23" s="381"/>
      <c r="I23" s="381"/>
      <c r="J23" s="12"/>
      <c r="M23" s="18"/>
    </row>
    <row r="24" spans="2:15" x14ac:dyDescent="0.2">
      <c r="B24" s="9"/>
      <c r="C24" s="13"/>
      <c r="D24" s="381"/>
      <c r="E24" s="381"/>
      <c r="F24" s="381"/>
      <c r="G24" s="381"/>
      <c r="H24" s="381"/>
      <c r="I24" s="381"/>
      <c r="J24" s="12"/>
      <c r="M24" s="18"/>
    </row>
    <row r="25" spans="2:15" x14ac:dyDescent="0.2">
      <c r="B25" s="9"/>
      <c r="C25" s="13"/>
      <c r="D25" s="10"/>
      <c r="E25" s="15"/>
      <c r="F25" s="15"/>
      <c r="G25" s="15"/>
      <c r="H25" s="15"/>
      <c r="I25" s="10"/>
      <c r="J25" s="12"/>
      <c r="N25" s="17"/>
      <c r="O25" s="19"/>
    </row>
    <row r="26" spans="2:15" ht="12.75" customHeight="1" x14ac:dyDescent="0.2">
      <c r="B26" s="9"/>
      <c r="C26" s="13" t="s">
        <v>8</v>
      </c>
      <c r="D26" s="381" t="s">
        <v>122</v>
      </c>
      <c r="E26" s="381"/>
      <c r="F26" s="381"/>
      <c r="G26" s="381"/>
      <c r="H26" s="381"/>
      <c r="I26" s="381"/>
      <c r="J26" s="12"/>
    </row>
    <row r="27" spans="2:15" x14ac:dyDescent="0.2">
      <c r="B27" s="9"/>
      <c r="C27" s="10"/>
      <c r="D27" s="381"/>
      <c r="E27" s="381"/>
      <c r="F27" s="381"/>
      <c r="G27" s="381"/>
      <c r="H27" s="381"/>
      <c r="I27" s="381"/>
      <c r="J27" s="12"/>
    </row>
    <row r="28" spans="2:15" x14ac:dyDescent="0.2">
      <c r="B28" s="9"/>
      <c r="C28" s="13"/>
      <c r="D28" s="10"/>
      <c r="E28" s="15"/>
      <c r="F28" s="15"/>
      <c r="G28" s="15"/>
      <c r="H28" s="15"/>
      <c r="I28" s="10"/>
      <c r="J28" s="12"/>
    </row>
    <row r="29" spans="2:15" ht="12.75" customHeight="1" x14ac:dyDescent="0.2">
      <c r="B29" s="9"/>
      <c r="C29" s="13" t="s">
        <v>10</v>
      </c>
      <c r="D29" s="381" t="s">
        <v>123</v>
      </c>
      <c r="E29" s="381"/>
      <c r="F29" s="381"/>
      <c r="G29" s="381"/>
      <c r="H29" s="381"/>
      <c r="I29" s="381"/>
      <c r="J29" s="12"/>
    </row>
    <row r="30" spans="2:15" x14ac:dyDescent="0.2">
      <c r="B30" s="9"/>
      <c r="C30" s="13"/>
      <c r="D30" s="381"/>
      <c r="E30" s="381"/>
      <c r="F30" s="381"/>
      <c r="G30" s="381"/>
      <c r="H30" s="381"/>
      <c r="I30" s="381"/>
      <c r="J30" s="12"/>
    </row>
    <row r="31" spans="2:15" x14ac:dyDescent="0.2">
      <c r="B31" s="9"/>
      <c r="C31" s="10"/>
      <c r="D31" s="381"/>
      <c r="E31" s="381"/>
      <c r="F31" s="381"/>
      <c r="G31" s="381"/>
      <c r="H31" s="381"/>
      <c r="I31" s="381"/>
      <c r="J31" s="12"/>
    </row>
    <row r="32" spans="2:15" x14ac:dyDescent="0.2">
      <c r="B32" s="9"/>
      <c r="C32" s="13"/>
      <c r="D32" s="10"/>
      <c r="E32" s="15"/>
      <c r="F32" s="15"/>
      <c r="G32" s="15"/>
      <c r="H32" s="15"/>
      <c r="I32" s="10"/>
      <c r="J32" s="12"/>
    </row>
    <row r="33" spans="2:15" x14ac:dyDescent="0.2">
      <c r="B33" s="9"/>
      <c r="C33" s="13" t="s">
        <v>12</v>
      </c>
      <c r="D33" s="10" t="s">
        <v>124</v>
      </c>
      <c r="E33" s="15"/>
      <c r="F33" s="15"/>
      <c r="G33" s="15"/>
      <c r="H33" s="15"/>
      <c r="I33" s="10"/>
      <c r="J33" s="12"/>
    </row>
    <row r="34" spans="2:15" x14ac:dyDescent="0.2">
      <c r="B34" s="9"/>
      <c r="C34" s="10"/>
      <c r="D34" s="10"/>
      <c r="E34" s="15"/>
      <c r="F34" s="15"/>
      <c r="G34" s="15"/>
      <c r="H34" s="15"/>
      <c r="I34" s="10"/>
      <c r="J34" s="12"/>
    </row>
    <row r="35" spans="2:15" x14ac:dyDescent="0.2">
      <c r="B35" s="9"/>
      <c r="C35" s="13"/>
      <c r="D35" s="21" t="s">
        <v>16</v>
      </c>
      <c r="E35" s="15"/>
      <c r="F35" s="15"/>
      <c r="G35" s="15"/>
      <c r="H35" s="15"/>
      <c r="I35" s="10"/>
      <c r="J35" s="12"/>
    </row>
    <row r="36" spans="2:15" x14ac:dyDescent="0.2">
      <c r="B36" s="9"/>
      <c r="C36" s="13"/>
      <c r="D36" s="21"/>
      <c r="E36" s="15"/>
      <c r="F36" s="15"/>
      <c r="G36" s="15"/>
      <c r="H36" s="15"/>
      <c r="I36" s="10"/>
      <c r="J36" s="12"/>
    </row>
    <row r="37" spans="2:15" x14ac:dyDescent="0.2">
      <c r="B37" s="9"/>
      <c r="C37" s="13"/>
      <c r="D37" s="22" t="s">
        <v>17</v>
      </c>
      <c r="E37" s="20" t="s">
        <v>18</v>
      </c>
      <c r="F37" s="10"/>
      <c r="G37" s="23">
        <v>5500000</v>
      </c>
      <c r="H37" s="10"/>
      <c r="I37" s="10"/>
      <c r="J37" s="12"/>
    </row>
    <row r="38" spans="2:15" x14ac:dyDescent="0.2">
      <c r="B38" s="9"/>
      <c r="C38" s="13"/>
      <c r="D38" s="22"/>
      <c r="E38" s="24"/>
      <c r="F38" s="10"/>
      <c r="G38" s="10"/>
      <c r="H38" s="23"/>
      <c r="I38" s="10"/>
      <c r="J38" s="12"/>
    </row>
    <row r="39" spans="2:15" ht="15" x14ac:dyDescent="0.25">
      <c r="B39" s="9"/>
      <c r="C39" s="13"/>
      <c r="D39" s="22" t="s">
        <v>19</v>
      </c>
      <c r="E39" s="25" t="s">
        <v>125</v>
      </c>
      <c r="F39" s="10"/>
      <c r="G39" s="10"/>
      <c r="H39" s="10"/>
      <c r="I39" s="26"/>
      <c r="J39" s="28"/>
      <c r="K39" s="147"/>
    </row>
    <row r="40" spans="2:15" x14ac:dyDescent="0.2">
      <c r="B40" s="9"/>
      <c r="C40" s="13"/>
      <c r="D40" s="22"/>
      <c r="E40" s="10" t="s">
        <v>21</v>
      </c>
      <c r="F40" s="10"/>
      <c r="G40" s="23">
        <v>450000</v>
      </c>
      <c r="H40" s="10"/>
      <c r="I40" s="10"/>
      <c r="J40" s="12"/>
    </row>
    <row r="41" spans="2:15" x14ac:dyDescent="0.2">
      <c r="B41" s="9"/>
      <c r="C41" s="13"/>
      <c r="D41" s="22"/>
      <c r="E41" s="10" t="s">
        <v>22</v>
      </c>
      <c r="F41" s="10"/>
      <c r="G41" s="23">
        <v>300000</v>
      </c>
      <c r="H41" s="10"/>
      <c r="I41" s="10"/>
      <c r="J41" s="12"/>
      <c r="M41" s="194"/>
      <c r="N41" s="195"/>
      <c r="O41" s="195"/>
    </row>
    <row r="42" spans="2:15" x14ac:dyDescent="0.2">
      <c r="B42" s="9"/>
      <c r="C42" s="13"/>
      <c r="D42" s="22"/>
      <c r="E42" s="10" t="s">
        <v>23</v>
      </c>
      <c r="F42" s="10"/>
      <c r="G42" s="23">
        <v>650000</v>
      </c>
      <c r="H42" s="10"/>
      <c r="I42" s="10"/>
      <c r="J42" s="12"/>
      <c r="M42" s="163" t="s">
        <v>94</v>
      </c>
      <c r="N42" s="163" t="s">
        <v>91</v>
      </c>
      <c r="O42" s="163" t="s">
        <v>95</v>
      </c>
    </row>
    <row r="43" spans="2:15" x14ac:dyDescent="0.2">
      <c r="B43" s="9"/>
      <c r="C43" s="13"/>
      <c r="D43" s="22"/>
      <c r="E43" s="10" t="s">
        <v>24</v>
      </c>
      <c r="F43" s="10"/>
      <c r="G43" s="23">
        <v>1875000</v>
      </c>
      <c r="H43" s="10"/>
      <c r="I43" s="10"/>
      <c r="J43" s="12"/>
      <c r="M43" s="164">
        <v>40000000</v>
      </c>
      <c r="N43" s="165">
        <v>2.9000000000000001E-2</v>
      </c>
      <c r="O43" s="164">
        <f>+M43*N43</f>
        <v>1160000</v>
      </c>
    </row>
    <row r="44" spans="2:15" x14ac:dyDescent="0.2">
      <c r="B44" s="9"/>
      <c r="C44" s="13"/>
      <c r="D44" s="22"/>
      <c r="E44" s="10" t="s">
        <v>25</v>
      </c>
      <c r="F44" s="10"/>
      <c r="G44" s="23">
        <v>1250000</v>
      </c>
      <c r="H44" s="10"/>
      <c r="I44" s="10"/>
      <c r="J44" s="12"/>
      <c r="M44" s="164"/>
      <c r="N44" s="165">
        <v>8.0000000000000002E-3</v>
      </c>
      <c r="O44" s="164">
        <f t="shared" ref="O44:O45" si="0">+M44*N44</f>
        <v>0</v>
      </c>
    </row>
    <row r="45" spans="2:15" x14ac:dyDescent="0.2">
      <c r="B45" s="9"/>
      <c r="C45" s="13"/>
      <c r="D45" s="22"/>
      <c r="E45" s="10" t="s">
        <v>26</v>
      </c>
      <c r="F45" s="10"/>
      <c r="G45" s="23">
        <v>150000</v>
      </c>
      <c r="H45" s="10"/>
      <c r="I45" s="10"/>
      <c r="J45" s="12"/>
      <c r="M45" s="164">
        <v>-8000000</v>
      </c>
      <c r="N45" s="165">
        <v>2E-3</v>
      </c>
      <c r="O45" s="164">
        <f t="shared" si="0"/>
        <v>-16000</v>
      </c>
    </row>
    <row r="46" spans="2:15" x14ac:dyDescent="0.2">
      <c r="B46" s="9"/>
      <c r="C46" s="13"/>
      <c r="D46" s="22"/>
      <c r="E46" s="10"/>
      <c r="F46" s="10"/>
      <c r="G46" s="23"/>
      <c r="H46" s="10"/>
      <c r="I46" s="10"/>
      <c r="J46" s="12"/>
      <c r="M46" s="164"/>
      <c r="N46" s="162"/>
      <c r="O46" s="166">
        <f>SUM(O43:O45)</f>
        <v>1144000</v>
      </c>
    </row>
    <row r="47" spans="2:15" ht="15" x14ac:dyDescent="0.25">
      <c r="B47" s="9"/>
      <c r="C47" s="13"/>
      <c r="D47" s="22" t="s">
        <v>27</v>
      </c>
      <c r="E47" s="25" t="s">
        <v>126</v>
      </c>
      <c r="F47" s="10"/>
      <c r="G47" s="23"/>
      <c r="H47" s="10"/>
      <c r="I47" s="10"/>
      <c r="J47" s="12"/>
      <c r="M47" s="194"/>
      <c r="N47" s="195"/>
      <c r="O47" s="195"/>
    </row>
    <row r="48" spans="2:15" x14ac:dyDescent="0.2">
      <c r="B48" s="9"/>
      <c r="C48" s="13"/>
      <c r="D48" s="22"/>
      <c r="E48" s="29" t="s">
        <v>29</v>
      </c>
      <c r="F48" s="10"/>
      <c r="G48" s="30">
        <v>-1144000</v>
      </c>
      <c r="H48" s="10"/>
      <c r="I48" s="10"/>
      <c r="J48" s="12"/>
    </row>
    <row r="49" spans="2:15" x14ac:dyDescent="0.2">
      <c r="B49" s="9"/>
      <c r="C49" s="13"/>
      <c r="D49" s="22"/>
      <c r="E49" s="29" t="s">
        <v>30</v>
      </c>
      <c r="F49" s="10"/>
      <c r="G49" s="30">
        <v>-5100000</v>
      </c>
      <c r="H49" s="10"/>
      <c r="I49" s="10"/>
      <c r="J49" s="12"/>
    </row>
    <row r="50" spans="2:15" x14ac:dyDescent="0.2">
      <c r="B50" s="9"/>
      <c r="C50" s="13"/>
      <c r="D50" s="22"/>
      <c r="E50" s="29" t="s">
        <v>31</v>
      </c>
      <c r="F50" s="10"/>
      <c r="G50" s="30">
        <v>-2000000</v>
      </c>
      <c r="H50" s="10"/>
      <c r="I50" s="10"/>
      <c r="J50" s="12"/>
    </row>
    <row r="51" spans="2:15" x14ac:dyDescent="0.2">
      <c r="B51" s="9"/>
      <c r="C51" s="13"/>
      <c r="D51" s="22"/>
      <c r="E51" s="29"/>
      <c r="F51" s="10"/>
      <c r="G51" s="23"/>
      <c r="H51" s="10"/>
      <c r="I51" s="10"/>
      <c r="J51" s="12"/>
      <c r="M51" s="1"/>
    </row>
    <row r="52" spans="2:15" x14ac:dyDescent="0.2">
      <c r="B52" s="9"/>
      <c r="C52" s="13"/>
      <c r="D52" s="22" t="s">
        <v>127</v>
      </c>
      <c r="E52" s="29" t="s">
        <v>128</v>
      </c>
      <c r="F52" s="10"/>
      <c r="G52" s="23">
        <f>+'Desarrollo Ejercicio n°3 B y C'!D71</f>
        <v>35675000</v>
      </c>
      <c r="H52" s="10"/>
      <c r="I52" s="10"/>
      <c r="J52" s="12"/>
      <c r="M52" s="1"/>
    </row>
    <row r="53" spans="2:15" x14ac:dyDescent="0.2">
      <c r="B53" s="9"/>
      <c r="C53" s="13"/>
      <c r="D53" s="22"/>
      <c r="E53" s="29"/>
      <c r="F53" s="10"/>
      <c r="G53" s="23"/>
      <c r="H53" s="10"/>
      <c r="I53" s="10"/>
      <c r="J53" s="12"/>
      <c r="M53" s="1"/>
    </row>
    <row r="54" spans="2:15" x14ac:dyDescent="0.2">
      <c r="B54" s="9"/>
      <c r="C54" s="13"/>
      <c r="D54" s="25" t="s">
        <v>129</v>
      </c>
      <c r="E54" s="29"/>
      <c r="F54" s="10"/>
      <c r="G54" s="23"/>
      <c r="H54" s="10"/>
      <c r="I54" s="10"/>
      <c r="J54" s="12"/>
      <c r="M54" s="1"/>
    </row>
    <row r="55" spans="2:15" x14ac:dyDescent="0.2">
      <c r="B55" s="9"/>
      <c r="C55" s="13"/>
      <c r="D55" s="22"/>
      <c r="E55" s="29"/>
      <c r="F55" s="10"/>
      <c r="G55" s="23"/>
      <c r="H55" s="10"/>
      <c r="I55" s="10"/>
      <c r="J55" s="12"/>
      <c r="M55" s="1"/>
    </row>
    <row r="56" spans="2:15" x14ac:dyDescent="0.2">
      <c r="B56" s="9"/>
      <c r="C56" s="32" t="s">
        <v>34</v>
      </c>
      <c r="D56" s="33"/>
      <c r="E56" s="32"/>
      <c r="F56" s="34"/>
      <c r="G56" s="35"/>
      <c r="H56" s="35"/>
      <c r="I56" s="10"/>
      <c r="J56" s="12"/>
    </row>
    <row r="57" spans="2:15" x14ac:dyDescent="0.2">
      <c r="B57" s="9"/>
      <c r="C57" s="36" t="s">
        <v>35</v>
      </c>
      <c r="D57" s="32" t="s">
        <v>130</v>
      </c>
      <c r="E57" s="32"/>
      <c r="F57" s="34"/>
      <c r="G57" s="35"/>
      <c r="H57" s="35"/>
      <c r="I57" s="10"/>
      <c r="J57" s="12"/>
    </row>
    <row r="58" spans="2:15" x14ac:dyDescent="0.2">
      <c r="B58" s="9"/>
      <c r="C58" s="37"/>
      <c r="D58" s="33"/>
      <c r="E58" s="32"/>
      <c r="F58" s="34"/>
      <c r="G58" s="35"/>
      <c r="H58" s="35"/>
      <c r="I58" s="10"/>
      <c r="J58" s="12"/>
    </row>
    <row r="59" spans="2:15" x14ac:dyDescent="0.2">
      <c r="B59" s="9"/>
      <c r="C59" s="36" t="s">
        <v>37</v>
      </c>
      <c r="D59" s="32" t="s">
        <v>131</v>
      </c>
      <c r="E59" s="32"/>
      <c r="F59" s="34"/>
      <c r="G59" s="35"/>
      <c r="H59" s="35"/>
      <c r="I59" s="10"/>
      <c r="J59" s="12"/>
    </row>
    <row r="60" spans="2:15" s="3" customFormat="1" x14ac:dyDescent="0.2">
      <c r="B60" s="148"/>
      <c r="C60" s="13"/>
      <c r="D60" s="22"/>
      <c r="E60" s="29"/>
      <c r="F60" s="10"/>
      <c r="G60" s="23"/>
      <c r="H60" s="10"/>
      <c r="I60" s="10"/>
      <c r="J60" s="12"/>
      <c r="N60" s="1"/>
      <c r="O60" s="1"/>
    </row>
    <row r="61" spans="2:15" s="3" customFormat="1" x14ac:dyDescent="0.2">
      <c r="B61" s="148"/>
      <c r="C61" s="36" t="s">
        <v>39</v>
      </c>
      <c r="D61" s="32" t="s">
        <v>40</v>
      </c>
      <c r="E61" s="29"/>
      <c r="F61" s="10"/>
      <c r="G61" s="23"/>
      <c r="H61" s="10"/>
      <c r="I61" s="10"/>
      <c r="J61" s="12"/>
      <c r="N61" s="1"/>
      <c r="O61" s="1"/>
    </row>
    <row r="62" spans="2:15" s="3" customFormat="1" ht="12.75" customHeight="1" thickBot="1" x14ac:dyDescent="0.25">
      <c r="B62" s="149"/>
      <c r="C62" s="39"/>
      <c r="D62" s="40"/>
      <c r="E62" s="382"/>
      <c r="F62" s="382"/>
      <c r="G62" s="41"/>
      <c r="H62" s="42"/>
      <c r="I62" s="42"/>
      <c r="J62" s="44"/>
      <c r="N62" s="1"/>
      <c r="O62" s="1"/>
    </row>
    <row r="63" spans="2:15" s="3" customFormat="1" ht="18" x14ac:dyDescent="0.25">
      <c r="C63" s="2"/>
      <c r="D63" s="45"/>
      <c r="E63" s="45"/>
      <c r="F63" s="45"/>
      <c r="G63" s="46"/>
      <c r="H63" s="47"/>
      <c r="I63" s="1"/>
      <c r="J63" s="48"/>
      <c r="N63" s="1"/>
      <c r="O63" s="1"/>
    </row>
    <row r="64" spans="2:15" s="3" customFormat="1" x14ac:dyDescent="0.2">
      <c r="C64" s="2"/>
      <c r="D64" s="1"/>
      <c r="E64" s="49"/>
      <c r="F64" s="1"/>
      <c r="G64" s="50"/>
      <c r="H64" s="1"/>
      <c r="I64" s="1"/>
      <c r="N64" s="1"/>
      <c r="O64" s="1"/>
    </row>
    <row r="65" spans="3:15" s="3" customFormat="1" x14ac:dyDescent="0.2">
      <c r="C65" s="2"/>
      <c r="D65" s="1"/>
      <c r="E65" s="51"/>
      <c r="F65" s="51"/>
      <c r="G65" s="1"/>
      <c r="H65" s="52"/>
      <c r="I65" s="1"/>
      <c r="N65" s="1"/>
      <c r="O65" s="1"/>
    </row>
    <row r="66" spans="3:15" s="3" customFormat="1" ht="12.75" customHeight="1" x14ac:dyDescent="0.2">
      <c r="C66" s="2"/>
      <c r="D66" s="1"/>
      <c r="E66" s="383"/>
      <c r="F66" s="383"/>
      <c r="G66" s="383"/>
      <c r="H66" s="383"/>
      <c r="I66" s="1"/>
      <c r="N66" s="1"/>
      <c r="O66" s="1"/>
    </row>
    <row r="67" spans="3:15" s="3" customFormat="1" x14ac:dyDescent="0.2">
      <c r="C67" s="2"/>
      <c r="D67" s="1"/>
      <c r="E67" s="53"/>
      <c r="F67" s="53"/>
      <c r="G67" s="53"/>
      <c r="H67" s="53"/>
      <c r="I67" s="1"/>
      <c r="N67" s="1"/>
      <c r="O67" s="1"/>
    </row>
    <row r="68" spans="3:15" s="3" customFormat="1" ht="12.75" customHeight="1" x14ac:dyDescent="0.2">
      <c r="C68" s="2"/>
      <c r="D68" s="1"/>
      <c r="E68" s="383"/>
      <c r="F68" s="383"/>
      <c r="G68" s="383"/>
      <c r="H68" s="383"/>
      <c r="I68" s="1"/>
      <c r="N68" s="1"/>
      <c r="O68" s="1"/>
    </row>
    <row r="69" spans="3:15" s="3" customFormat="1" x14ac:dyDescent="0.2">
      <c r="C69" s="2"/>
      <c r="D69" s="1"/>
      <c r="E69" s="377"/>
      <c r="F69" s="377"/>
      <c r="G69" s="377"/>
      <c r="H69" s="377"/>
      <c r="I69" s="1"/>
      <c r="N69" s="1"/>
      <c r="O69" s="1"/>
    </row>
    <row r="70" spans="3:15" s="3" customFormat="1" x14ac:dyDescent="0.2">
      <c r="C70" s="2"/>
      <c r="D70" s="1"/>
      <c r="E70" s="383"/>
      <c r="F70" s="383"/>
      <c r="G70" s="383"/>
      <c r="H70" s="383"/>
      <c r="I70" s="1"/>
      <c r="N70" s="1"/>
      <c r="O70" s="1"/>
    </row>
    <row r="71" spans="3:15" s="3" customFormat="1" x14ac:dyDescent="0.2">
      <c r="C71" s="2"/>
      <c r="D71" s="1"/>
      <c r="E71" s="377"/>
      <c r="F71" s="377"/>
      <c r="G71" s="377"/>
      <c r="H71" s="377"/>
      <c r="I71" s="1"/>
      <c r="N71" s="1"/>
      <c r="O71" s="1"/>
    </row>
  </sheetData>
  <mergeCells count="12">
    <mergeCell ref="E71:H71"/>
    <mergeCell ref="D6:I6"/>
    <mergeCell ref="C8:I10"/>
    <mergeCell ref="D12:I13"/>
    <mergeCell ref="D22:I24"/>
    <mergeCell ref="D26:I27"/>
    <mergeCell ref="D29:I31"/>
    <mergeCell ref="E62:F62"/>
    <mergeCell ref="E66:H66"/>
    <mergeCell ref="E68:H68"/>
    <mergeCell ref="E69:H69"/>
    <mergeCell ref="E70:H70"/>
  </mergeCells>
  <printOptions horizontalCentered="1"/>
  <pageMargins left="0.59055118110236227" right="0.59055118110236227" top="0.59055118110236227" bottom="0.59055118110236227" header="0" footer="0"/>
  <pageSetup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62"/>
  <sheetViews>
    <sheetView showGridLines="0" zoomScale="80" zoomScaleNormal="80" workbookViewId="0">
      <selection activeCell="D2" sqref="D2:D4"/>
    </sheetView>
  </sheetViews>
  <sheetFormatPr baseColWidth="10" defaultColWidth="8.85546875" defaultRowHeight="15" x14ac:dyDescent="0.25"/>
  <cols>
    <col min="3" max="3" width="2.85546875" bestFit="1" customWidth="1"/>
    <col min="4" max="4" width="47" bestFit="1" customWidth="1"/>
    <col min="5" max="5" width="8.140625" bestFit="1" customWidth="1"/>
    <col min="6" max="7" width="11.28515625" bestFit="1" customWidth="1"/>
    <col min="10" max="10" width="52.5703125" customWidth="1"/>
    <col min="11" max="11" width="15.85546875" customWidth="1"/>
    <col min="12" max="12" width="14.5703125" bestFit="1" customWidth="1"/>
    <col min="13" max="13" width="16.42578125" customWidth="1"/>
    <col min="14" max="14" width="12.5703125" customWidth="1"/>
    <col min="15" max="15" width="4.85546875" bestFit="1" customWidth="1"/>
    <col min="16" max="16" width="18" customWidth="1"/>
    <col min="17" max="17" width="19.7109375" customWidth="1"/>
    <col min="18" max="18" width="13" hidden="1" customWidth="1"/>
  </cols>
  <sheetData>
    <row r="1" spans="2:9" ht="15.75" thickBot="1" x14ac:dyDescent="0.3"/>
    <row r="2" spans="2:9" x14ac:dyDescent="0.25">
      <c r="B2" s="196"/>
      <c r="C2" s="197"/>
      <c r="D2" s="5" t="s">
        <v>229</v>
      </c>
      <c r="E2" s="197"/>
      <c r="F2" s="197"/>
      <c r="G2" s="197"/>
      <c r="H2" s="198"/>
    </row>
    <row r="3" spans="2:9" x14ac:dyDescent="0.25">
      <c r="B3" s="199"/>
      <c r="C3" s="200"/>
      <c r="D3" s="10" t="s">
        <v>231</v>
      </c>
      <c r="E3" s="200"/>
      <c r="F3" s="200"/>
      <c r="G3" s="200"/>
      <c r="H3" s="201"/>
    </row>
    <row r="4" spans="2:9" x14ac:dyDescent="0.25">
      <c r="B4" s="199"/>
      <c r="C4" s="200"/>
      <c r="D4" s="10" t="s">
        <v>230</v>
      </c>
      <c r="E4" s="200"/>
      <c r="F4" s="200"/>
      <c r="G4" s="200"/>
      <c r="H4" s="201"/>
    </row>
    <row r="5" spans="2:9" x14ac:dyDescent="0.25">
      <c r="B5" s="199"/>
      <c r="C5" s="200"/>
      <c r="D5" s="200"/>
      <c r="E5" s="200"/>
      <c r="F5" s="200"/>
      <c r="G5" s="200"/>
      <c r="H5" s="201"/>
    </row>
    <row r="6" spans="2:9" x14ac:dyDescent="0.25">
      <c r="B6" s="199"/>
      <c r="C6" s="200"/>
      <c r="D6" s="61" t="s">
        <v>223</v>
      </c>
      <c r="E6" s="200"/>
      <c r="F6" s="200"/>
      <c r="G6" s="200"/>
      <c r="H6" s="201"/>
    </row>
    <row r="7" spans="2:9" x14ac:dyDescent="0.25">
      <c r="B7" s="199"/>
      <c r="C7" s="200"/>
      <c r="D7" s="200"/>
      <c r="E7" s="200"/>
      <c r="F7" s="200"/>
      <c r="G7" s="200"/>
      <c r="H7" s="201"/>
    </row>
    <row r="8" spans="2:9" x14ac:dyDescent="0.25">
      <c r="B8" s="199"/>
      <c r="C8" s="22" t="s">
        <v>42</v>
      </c>
      <c r="D8" s="202" t="s">
        <v>43</v>
      </c>
      <c r="E8" s="200"/>
      <c r="F8" s="200"/>
      <c r="G8" s="200"/>
      <c r="H8" s="201"/>
    </row>
    <row r="9" spans="2:9" x14ac:dyDescent="0.25">
      <c r="B9" s="199"/>
      <c r="C9" s="200"/>
      <c r="D9" s="20" t="s">
        <v>18</v>
      </c>
      <c r="E9" s="10"/>
      <c r="F9" s="10"/>
      <c r="G9" s="23">
        <v>5500000</v>
      </c>
      <c r="H9" s="203"/>
      <c r="I9" s="3"/>
    </row>
    <row r="10" spans="2:9" x14ac:dyDescent="0.25">
      <c r="B10" s="199"/>
      <c r="C10" s="200"/>
      <c r="D10" s="25" t="s">
        <v>20</v>
      </c>
      <c r="E10" s="10"/>
      <c r="F10" s="10"/>
      <c r="G10" s="23"/>
      <c r="H10" s="203"/>
      <c r="I10" s="3"/>
    </row>
    <row r="11" spans="2:9" x14ac:dyDescent="0.25">
      <c r="B11" s="199"/>
      <c r="C11" s="200"/>
      <c r="D11" s="10" t="s">
        <v>21</v>
      </c>
      <c r="E11" s="10"/>
      <c r="F11" s="23">
        <f>15000000*3%</f>
        <v>450000</v>
      </c>
      <c r="G11" s="23"/>
      <c r="H11" s="203"/>
      <c r="I11" s="3"/>
    </row>
    <row r="12" spans="2:9" x14ac:dyDescent="0.25">
      <c r="B12" s="199"/>
      <c r="C12" s="200"/>
      <c r="D12" s="10" t="s">
        <v>22</v>
      </c>
      <c r="E12" s="10"/>
      <c r="F12" s="23">
        <v>300000</v>
      </c>
      <c r="G12" s="23"/>
      <c r="H12" s="203"/>
      <c r="I12" s="3"/>
    </row>
    <row r="13" spans="2:9" x14ac:dyDescent="0.25">
      <c r="B13" s="199"/>
      <c r="C13" s="22"/>
      <c r="D13" s="10" t="s">
        <v>23</v>
      </c>
      <c r="E13" s="10"/>
      <c r="F13" s="23">
        <v>650000</v>
      </c>
      <c r="G13" s="10"/>
      <c r="H13" s="204"/>
      <c r="I13" s="147"/>
    </row>
    <row r="14" spans="2:9" x14ac:dyDescent="0.25">
      <c r="B14" s="199"/>
      <c r="C14" s="22"/>
      <c r="D14" s="10" t="s">
        <v>24</v>
      </c>
      <c r="E14" s="10"/>
      <c r="F14" s="23">
        <v>1875000</v>
      </c>
      <c r="G14" s="10"/>
      <c r="H14" s="203"/>
      <c r="I14" s="3"/>
    </row>
    <row r="15" spans="2:9" x14ac:dyDescent="0.25">
      <c r="B15" s="199"/>
      <c r="C15" s="22"/>
      <c r="D15" s="10" t="s">
        <v>25</v>
      </c>
      <c r="E15" s="10"/>
      <c r="F15" s="23">
        <v>1250000</v>
      </c>
      <c r="G15" s="10"/>
      <c r="H15" s="203"/>
      <c r="I15" s="3"/>
    </row>
    <row r="16" spans="2:9" x14ac:dyDescent="0.25">
      <c r="B16" s="199"/>
      <c r="C16" s="22"/>
      <c r="D16" s="10" t="s">
        <v>26</v>
      </c>
      <c r="E16" s="10"/>
      <c r="F16" s="23">
        <v>150000</v>
      </c>
      <c r="G16" s="23">
        <f>SUM(F11:F16)</f>
        <v>4675000</v>
      </c>
      <c r="H16" s="203"/>
      <c r="I16" s="3"/>
    </row>
    <row r="17" spans="2:9" x14ac:dyDescent="0.25">
      <c r="B17" s="199"/>
      <c r="C17" s="22"/>
      <c r="D17" s="10"/>
      <c r="E17" s="10"/>
      <c r="F17" s="23"/>
      <c r="G17" s="10"/>
      <c r="H17" s="203"/>
      <c r="I17" s="3"/>
    </row>
    <row r="18" spans="2:9" x14ac:dyDescent="0.25">
      <c r="B18" s="199"/>
      <c r="C18" s="22"/>
      <c r="D18" s="25" t="s">
        <v>92</v>
      </c>
      <c r="E18" s="10"/>
      <c r="F18" s="23"/>
      <c r="G18" s="10"/>
      <c r="H18" s="203"/>
      <c r="I18" s="3"/>
    </row>
    <row r="19" spans="2:9" x14ac:dyDescent="0.25">
      <c r="B19" s="199"/>
      <c r="C19" s="22"/>
      <c r="D19" s="29" t="s">
        <v>29</v>
      </c>
      <c r="E19" s="10"/>
      <c r="F19" s="30">
        <f>+'Planteamiento Ejercicio n°3'!G48</f>
        <v>-1144000</v>
      </c>
      <c r="G19" s="10"/>
      <c r="H19" s="203"/>
      <c r="I19" s="3"/>
    </row>
    <row r="20" spans="2:9" x14ac:dyDescent="0.25">
      <c r="B20" s="199"/>
      <c r="C20" s="22"/>
      <c r="D20" s="29" t="s">
        <v>30</v>
      </c>
      <c r="E20" s="10"/>
      <c r="F20" s="30">
        <f>+'Planteamiento Ejercicio n°3'!G49</f>
        <v>-5100000</v>
      </c>
      <c r="G20" s="10"/>
      <c r="H20" s="203"/>
      <c r="I20" s="3"/>
    </row>
    <row r="21" spans="2:9" x14ac:dyDescent="0.25">
      <c r="B21" s="199"/>
      <c r="C21" s="22"/>
      <c r="D21" s="31" t="s">
        <v>44</v>
      </c>
      <c r="E21" s="10"/>
      <c r="F21" s="30">
        <v>-2000000</v>
      </c>
      <c r="G21" s="10"/>
      <c r="H21" s="203"/>
      <c r="I21" s="3"/>
    </row>
    <row r="22" spans="2:9" x14ac:dyDescent="0.25">
      <c r="B22" s="199"/>
      <c r="C22" s="22"/>
      <c r="D22" s="29" t="str">
        <f>+D15</f>
        <v>Gastos por arriendo de Automóviles (Actualizados)</v>
      </c>
      <c r="E22" s="10"/>
      <c r="F22" s="30">
        <f>-F15</f>
        <v>-1250000</v>
      </c>
      <c r="G22" s="30">
        <f>SUM(F19:F22)</f>
        <v>-9494000</v>
      </c>
      <c r="H22" s="203"/>
      <c r="I22" s="3"/>
    </row>
    <row r="23" spans="2:9" x14ac:dyDescent="0.25">
      <c r="B23" s="199"/>
      <c r="C23" s="22"/>
      <c r="D23" s="29"/>
      <c r="E23" s="10"/>
      <c r="F23" s="23"/>
      <c r="G23" s="10"/>
      <c r="H23" s="203"/>
      <c r="I23" s="3"/>
    </row>
    <row r="24" spans="2:9" x14ac:dyDescent="0.25">
      <c r="B24" s="199"/>
      <c r="C24" s="22"/>
      <c r="D24" s="67" t="s">
        <v>132</v>
      </c>
      <c r="E24" s="68"/>
      <c r="F24" s="69"/>
      <c r="G24" s="69">
        <f>SUM(G9:G22)</f>
        <v>681000</v>
      </c>
      <c r="H24" s="203"/>
      <c r="I24" s="3"/>
    </row>
    <row r="25" spans="2:9" x14ac:dyDescent="0.25">
      <c r="B25" s="199"/>
      <c r="C25" s="22"/>
      <c r="D25" s="25"/>
      <c r="E25" s="20"/>
      <c r="F25" s="35"/>
      <c r="G25" s="35"/>
      <c r="H25" s="203"/>
      <c r="I25" s="3"/>
    </row>
    <row r="26" spans="2:9" x14ac:dyDescent="0.25">
      <c r="B26" s="199"/>
      <c r="C26" s="22"/>
      <c r="D26" s="25" t="s">
        <v>49</v>
      </c>
      <c r="E26" s="70">
        <v>0.255</v>
      </c>
      <c r="F26" s="35"/>
      <c r="G26" s="35">
        <f>ROUND(G24*E26,0)</f>
        <v>173655</v>
      </c>
      <c r="H26" s="203"/>
      <c r="I26" s="3"/>
    </row>
    <row r="27" spans="2:9" x14ac:dyDescent="0.25">
      <c r="B27" s="199"/>
      <c r="C27" s="22"/>
      <c r="D27" s="25" t="s">
        <v>53</v>
      </c>
      <c r="E27" s="71">
        <v>0.4</v>
      </c>
      <c r="F27" s="35"/>
      <c r="G27" s="35">
        <f>-ROUND(F22*E27,0)</f>
        <v>500000</v>
      </c>
      <c r="H27" s="203"/>
      <c r="I27" s="3"/>
    </row>
    <row r="28" spans="2:9" x14ac:dyDescent="0.25">
      <c r="B28" s="199"/>
      <c r="C28" s="22"/>
      <c r="D28" s="25"/>
      <c r="E28" s="20"/>
      <c r="F28" s="35"/>
      <c r="G28" s="35"/>
      <c r="H28" s="203"/>
      <c r="I28" s="3"/>
    </row>
    <row r="29" spans="2:9" ht="15.75" thickBot="1" x14ac:dyDescent="0.3">
      <c r="B29" s="199"/>
      <c r="C29" s="22"/>
      <c r="D29" s="73" t="s">
        <v>54</v>
      </c>
      <c r="E29" s="74"/>
      <c r="F29" s="75"/>
      <c r="G29" s="75">
        <f>SUM(G26:G27)</f>
        <v>673655</v>
      </c>
      <c r="H29" s="203"/>
      <c r="I29" s="3"/>
    </row>
    <row r="30" spans="2:9" ht="15.75" thickBot="1" x14ac:dyDescent="0.3">
      <c r="B30" s="205"/>
      <c r="C30" s="40"/>
      <c r="D30" s="206"/>
      <c r="E30" s="206"/>
      <c r="F30" s="206"/>
      <c r="G30" s="42"/>
      <c r="H30" s="207"/>
      <c r="I30" s="3"/>
    </row>
    <row r="31" spans="2:9" x14ac:dyDescent="0.25">
      <c r="C31" s="78"/>
      <c r="G31" s="1"/>
      <c r="H31" s="1"/>
      <c r="I31" s="3"/>
    </row>
    <row r="32" spans="2:9" x14ac:dyDescent="0.25">
      <c r="C32" s="78"/>
      <c r="D32" s="208"/>
      <c r="E32" s="1"/>
      <c r="F32" s="50"/>
      <c r="G32" s="1"/>
      <c r="H32" s="1"/>
      <c r="I32" s="3"/>
    </row>
    <row r="33" spans="3:9" x14ac:dyDescent="0.25">
      <c r="C33" s="78"/>
      <c r="D33" s="79"/>
      <c r="E33" s="1"/>
      <c r="F33" s="50"/>
      <c r="H33" s="1"/>
      <c r="I33" s="3"/>
    </row>
    <row r="34" spans="3:9" x14ac:dyDescent="0.25">
      <c r="C34" s="78"/>
      <c r="D34" s="79"/>
      <c r="E34" s="1"/>
      <c r="F34" s="50"/>
      <c r="H34" s="1"/>
      <c r="I34" s="3"/>
    </row>
    <row r="35" spans="3:9" x14ac:dyDescent="0.25">
      <c r="C35" s="78"/>
      <c r="D35" s="79"/>
      <c r="E35" s="1"/>
      <c r="F35" s="50"/>
      <c r="H35" s="1"/>
      <c r="I35" s="3"/>
    </row>
    <row r="36" spans="3:9" x14ac:dyDescent="0.25">
      <c r="C36" s="78"/>
      <c r="D36" s="79"/>
      <c r="E36" s="1"/>
      <c r="F36" s="50"/>
      <c r="H36" s="1"/>
      <c r="I36" s="3"/>
    </row>
    <row r="37" spans="3:9" x14ac:dyDescent="0.25">
      <c r="C37" s="78"/>
      <c r="D37" s="1"/>
      <c r="E37" s="1"/>
      <c r="F37" s="50"/>
      <c r="G37" s="1"/>
      <c r="H37" s="1"/>
      <c r="I37" s="3"/>
    </row>
    <row r="38" spans="3:9" x14ac:dyDescent="0.25">
      <c r="C38" s="78"/>
      <c r="D38" s="1"/>
      <c r="E38" s="1"/>
      <c r="F38" s="50"/>
      <c r="G38" s="1"/>
      <c r="H38" s="1"/>
      <c r="I38" s="3"/>
    </row>
    <row r="39" spans="3:9" x14ac:dyDescent="0.25">
      <c r="C39" s="78"/>
      <c r="D39" s="1"/>
      <c r="E39" s="1"/>
      <c r="F39" s="50"/>
      <c r="G39" s="1"/>
      <c r="H39" s="1"/>
      <c r="I39" s="3"/>
    </row>
    <row r="40" spans="3:9" x14ac:dyDescent="0.25">
      <c r="C40" s="78"/>
      <c r="D40" s="1"/>
      <c r="E40" s="1"/>
      <c r="F40" s="50"/>
      <c r="G40" s="1"/>
      <c r="H40" s="1"/>
      <c r="I40" s="3"/>
    </row>
    <row r="41" spans="3:9" x14ac:dyDescent="0.25">
      <c r="C41" s="78"/>
      <c r="D41" s="1"/>
      <c r="E41" s="1"/>
      <c r="F41" s="50"/>
      <c r="G41" s="1"/>
      <c r="H41" s="1"/>
      <c r="I41" s="3"/>
    </row>
    <row r="42" spans="3:9" x14ac:dyDescent="0.25">
      <c r="C42" s="78"/>
      <c r="D42" s="1"/>
      <c r="E42" s="1"/>
      <c r="F42" s="50"/>
      <c r="G42" s="1"/>
      <c r="H42" s="1"/>
      <c r="I42" s="3"/>
    </row>
    <row r="43" spans="3:9" x14ac:dyDescent="0.25">
      <c r="C43" s="78"/>
      <c r="H43" s="1"/>
      <c r="I43" s="3"/>
    </row>
    <row r="44" spans="3:9" x14ac:dyDescent="0.25">
      <c r="C44" s="78"/>
      <c r="H44" s="1"/>
      <c r="I44" s="3"/>
    </row>
    <row r="45" spans="3:9" x14ac:dyDescent="0.25">
      <c r="C45" s="78"/>
      <c r="H45" s="1"/>
      <c r="I45" s="3"/>
    </row>
    <row r="46" spans="3:9" x14ac:dyDescent="0.25">
      <c r="C46" s="78"/>
      <c r="H46" s="1"/>
      <c r="I46" s="3"/>
    </row>
    <row r="47" spans="3:9" x14ac:dyDescent="0.25">
      <c r="C47" s="78"/>
      <c r="H47" s="1"/>
      <c r="I47" s="3"/>
    </row>
    <row r="48" spans="3:9" x14ac:dyDescent="0.25">
      <c r="C48" s="78"/>
      <c r="H48" s="1"/>
      <c r="I48" s="3"/>
    </row>
    <row r="49" spans="3:9" x14ac:dyDescent="0.25">
      <c r="C49" s="78"/>
      <c r="H49" s="1"/>
      <c r="I49" s="3"/>
    </row>
    <row r="50" spans="3:9" x14ac:dyDescent="0.25">
      <c r="C50" s="78"/>
      <c r="H50" s="1"/>
      <c r="I50" s="3"/>
    </row>
    <row r="51" spans="3:9" x14ac:dyDescent="0.25">
      <c r="C51" s="78"/>
      <c r="H51" s="1"/>
      <c r="I51" s="3"/>
    </row>
    <row r="52" spans="3:9" x14ac:dyDescent="0.25">
      <c r="C52" s="78"/>
      <c r="H52" s="1"/>
      <c r="I52" s="3"/>
    </row>
    <row r="53" spans="3:9" x14ac:dyDescent="0.25">
      <c r="C53" s="78"/>
      <c r="H53" s="1"/>
      <c r="I53" s="3"/>
    </row>
    <row r="54" spans="3:9" x14ac:dyDescent="0.25">
      <c r="C54" s="78"/>
      <c r="H54" s="1"/>
      <c r="I54" s="3"/>
    </row>
    <row r="55" spans="3:9" x14ac:dyDescent="0.25">
      <c r="C55" s="78"/>
      <c r="H55" s="1"/>
      <c r="I55" s="3"/>
    </row>
    <row r="56" spans="3:9" x14ac:dyDescent="0.25">
      <c r="C56" s="78"/>
      <c r="H56" s="1"/>
      <c r="I56" s="3"/>
    </row>
    <row r="57" spans="3:9" x14ac:dyDescent="0.25">
      <c r="C57" s="78"/>
      <c r="H57" s="1"/>
      <c r="I57" s="3"/>
    </row>
    <row r="58" spans="3:9" x14ac:dyDescent="0.25">
      <c r="C58" s="78"/>
      <c r="H58" s="1"/>
      <c r="I58" s="3"/>
    </row>
    <row r="59" spans="3:9" x14ac:dyDescent="0.25">
      <c r="C59" s="78"/>
      <c r="H59" s="1"/>
      <c r="I59" s="3"/>
    </row>
    <row r="60" spans="3:9" x14ac:dyDescent="0.25">
      <c r="C60" s="78"/>
      <c r="H60" s="1"/>
      <c r="I60" s="3"/>
    </row>
    <row r="61" spans="3:9" x14ac:dyDescent="0.25">
      <c r="C61" s="78"/>
      <c r="H61" s="1"/>
      <c r="I61" s="3"/>
    </row>
    <row r="62" spans="3:9" x14ac:dyDescent="0.25">
      <c r="C62" s="78"/>
      <c r="H62" s="1"/>
      <c r="I62" s="3"/>
    </row>
  </sheetData>
  <pageMargins left="0.7" right="0.7" top="0.75" bottom="0.75" header="0.3" footer="0.3"/>
  <pageSetup scale="9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N81"/>
  <sheetViews>
    <sheetView showGridLines="0" topLeftCell="C2" zoomScaleNormal="100" workbookViewId="0">
      <selection activeCell="C2" sqref="C2:C4"/>
    </sheetView>
  </sheetViews>
  <sheetFormatPr baseColWidth="10" defaultColWidth="9.140625" defaultRowHeight="12.75" x14ac:dyDescent="0.2"/>
  <cols>
    <col min="1" max="2" width="9.140625" style="54"/>
    <col min="3" max="3" width="47.42578125" style="54" customWidth="1"/>
    <col min="4" max="4" width="18.85546875" style="54" bestFit="1" customWidth="1"/>
    <col min="5" max="5" width="16.42578125" style="54" bestFit="1" customWidth="1"/>
    <col min="6" max="6" width="13.140625" style="54" bestFit="1" customWidth="1"/>
    <col min="7" max="7" width="15.85546875" style="54" customWidth="1"/>
    <col min="8" max="8" width="9.28515625" style="54" bestFit="1" customWidth="1"/>
    <col min="9" max="9" width="16.5703125" style="54" bestFit="1" customWidth="1"/>
    <col min="10" max="10" width="15.7109375" style="54" bestFit="1" customWidth="1"/>
    <col min="11" max="11" width="9.28515625" style="54" bestFit="1" customWidth="1"/>
    <col min="12" max="16384" width="9.140625" style="54"/>
  </cols>
  <sheetData>
    <row r="1" spans="2:12" ht="13.5" thickBot="1" x14ac:dyDescent="0.25"/>
    <row r="2" spans="2:12" x14ac:dyDescent="0.2">
      <c r="B2" s="55"/>
      <c r="C2" s="5" t="s">
        <v>229</v>
      </c>
      <c r="D2" s="56"/>
      <c r="E2" s="56"/>
      <c r="F2" s="56"/>
      <c r="G2" s="56"/>
      <c r="H2" s="56"/>
      <c r="I2" s="56"/>
      <c r="J2" s="56"/>
      <c r="K2" s="56"/>
      <c r="L2" s="57"/>
    </row>
    <row r="3" spans="2:12" x14ac:dyDescent="0.2">
      <c r="B3" s="59"/>
      <c r="C3" s="10" t="s">
        <v>231</v>
      </c>
      <c r="D3" s="58"/>
      <c r="E3" s="58"/>
      <c r="F3" s="58"/>
      <c r="G3" s="58"/>
      <c r="H3" s="58"/>
      <c r="I3" s="58"/>
      <c r="J3" s="58"/>
      <c r="K3" s="58"/>
      <c r="L3" s="60"/>
    </row>
    <row r="4" spans="2:12" x14ac:dyDescent="0.2">
      <c r="B4" s="59"/>
      <c r="C4" s="10" t="s">
        <v>230</v>
      </c>
      <c r="D4" s="58"/>
      <c r="E4" s="58"/>
      <c r="F4" s="58"/>
      <c r="G4" s="58"/>
      <c r="H4" s="58"/>
      <c r="I4" s="58"/>
      <c r="J4" s="58"/>
      <c r="K4" s="58"/>
      <c r="L4" s="60"/>
    </row>
    <row r="5" spans="2:12" x14ac:dyDescent="0.2">
      <c r="B5" s="59"/>
      <c r="C5" s="58"/>
      <c r="D5" s="58"/>
      <c r="E5" s="58"/>
      <c r="F5" s="58"/>
      <c r="G5" s="58"/>
      <c r="H5" s="58"/>
      <c r="I5" s="58"/>
      <c r="J5" s="58"/>
      <c r="K5" s="58"/>
      <c r="L5" s="60"/>
    </row>
    <row r="6" spans="2:12" x14ac:dyDescent="0.2">
      <c r="B6" s="59"/>
      <c r="C6" s="61" t="s">
        <v>223</v>
      </c>
      <c r="D6" s="58"/>
      <c r="E6" s="58"/>
      <c r="F6" s="58"/>
      <c r="G6" s="58"/>
      <c r="H6" s="58"/>
      <c r="I6" s="58"/>
      <c r="J6" s="58"/>
      <c r="K6" s="58"/>
      <c r="L6" s="60"/>
    </row>
    <row r="7" spans="2:12" x14ac:dyDescent="0.2">
      <c r="B7" s="59"/>
      <c r="C7" s="58"/>
      <c r="D7" s="58"/>
      <c r="E7" s="58"/>
      <c r="F7" s="58"/>
      <c r="G7" s="58"/>
      <c r="H7" s="58"/>
      <c r="I7" s="58"/>
      <c r="J7" s="58"/>
      <c r="K7" s="58"/>
      <c r="L7" s="60"/>
    </row>
    <row r="8" spans="2:12" x14ac:dyDescent="0.2">
      <c r="B8" s="59"/>
      <c r="C8" s="61" t="s">
        <v>133</v>
      </c>
      <c r="D8" s="58"/>
      <c r="E8" s="58"/>
      <c r="F8" s="58"/>
      <c r="G8" s="58"/>
      <c r="H8" s="58"/>
      <c r="I8" s="58"/>
      <c r="J8" s="58"/>
      <c r="K8" s="58"/>
      <c r="L8" s="60"/>
    </row>
    <row r="9" spans="2:12" x14ac:dyDescent="0.2">
      <c r="B9" s="59"/>
      <c r="C9" s="386" t="s">
        <v>56</v>
      </c>
      <c r="D9" s="80"/>
      <c r="E9" s="392" t="s">
        <v>57</v>
      </c>
      <c r="F9" s="392" t="s">
        <v>134</v>
      </c>
      <c r="G9" s="392" t="s">
        <v>59</v>
      </c>
      <c r="H9" s="406" t="s">
        <v>60</v>
      </c>
      <c r="I9" s="390" t="s">
        <v>135</v>
      </c>
      <c r="J9" s="390"/>
      <c r="K9" s="401" t="s">
        <v>62</v>
      </c>
      <c r="L9" s="60"/>
    </row>
    <row r="10" spans="2:12" x14ac:dyDescent="0.2">
      <c r="B10" s="59"/>
      <c r="C10" s="387"/>
      <c r="D10" s="82"/>
      <c r="E10" s="393"/>
      <c r="F10" s="393"/>
      <c r="G10" s="393"/>
      <c r="H10" s="407"/>
      <c r="I10" s="404" t="s">
        <v>136</v>
      </c>
      <c r="J10" s="405"/>
      <c r="K10" s="402"/>
      <c r="L10" s="60"/>
    </row>
    <row r="11" spans="2:12" x14ac:dyDescent="0.2">
      <c r="B11" s="59"/>
      <c r="C11" s="159"/>
      <c r="D11" s="82"/>
      <c r="E11" s="393"/>
      <c r="F11" s="393"/>
      <c r="G11" s="393"/>
      <c r="H11" s="407"/>
      <c r="I11" s="83" t="s">
        <v>93</v>
      </c>
      <c r="J11" s="406" t="s">
        <v>137</v>
      </c>
      <c r="K11" s="402"/>
      <c r="L11" s="60"/>
    </row>
    <row r="12" spans="2:12" x14ac:dyDescent="0.2">
      <c r="B12" s="59"/>
      <c r="C12" s="159"/>
      <c r="D12" s="82"/>
      <c r="E12" s="393"/>
      <c r="F12" s="393"/>
      <c r="G12" s="393"/>
      <c r="H12" s="407"/>
      <c r="I12" s="209">
        <v>0.255</v>
      </c>
      <c r="J12" s="407"/>
      <c r="K12" s="402"/>
      <c r="L12" s="60"/>
    </row>
    <row r="13" spans="2:12" x14ac:dyDescent="0.2">
      <c r="B13" s="59"/>
      <c r="C13" s="159"/>
      <c r="D13" s="82"/>
      <c r="E13" s="394"/>
      <c r="F13" s="394"/>
      <c r="G13" s="394"/>
      <c r="H13" s="408"/>
      <c r="I13" s="83">
        <v>0.342281</v>
      </c>
      <c r="J13" s="408"/>
      <c r="K13" s="403"/>
      <c r="L13" s="60"/>
    </row>
    <row r="14" spans="2:12" x14ac:dyDescent="0.2">
      <c r="B14" s="59"/>
      <c r="C14" s="85" t="s">
        <v>65</v>
      </c>
      <c r="D14" s="86"/>
      <c r="E14" s="150">
        <f>SUM(F14:H14)</f>
        <v>0</v>
      </c>
      <c r="F14" s="88">
        <v>0</v>
      </c>
      <c r="G14" s="89">
        <v>0</v>
      </c>
      <c r="H14" s="88">
        <v>0</v>
      </c>
      <c r="I14" s="89">
        <v>0</v>
      </c>
      <c r="J14" s="89">
        <v>0</v>
      </c>
      <c r="K14" s="87">
        <v>0</v>
      </c>
      <c r="L14" s="60"/>
    </row>
    <row r="15" spans="2:12" x14ac:dyDescent="0.2">
      <c r="B15" s="59"/>
      <c r="C15" s="133" t="s">
        <v>68</v>
      </c>
      <c r="D15" s="151"/>
      <c r="E15" s="92"/>
      <c r="F15" s="93"/>
      <c r="G15" s="94"/>
      <c r="H15" s="93"/>
      <c r="I15" s="95"/>
      <c r="J15" s="96"/>
      <c r="K15" s="97"/>
      <c r="L15" s="98"/>
    </row>
    <row r="16" spans="2:12" x14ac:dyDescent="0.2">
      <c r="B16" s="59"/>
      <c r="C16" s="90" t="s">
        <v>138</v>
      </c>
      <c r="D16" s="91"/>
      <c r="E16" s="92"/>
      <c r="F16" s="93"/>
      <c r="G16" s="94"/>
      <c r="H16" s="93"/>
      <c r="I16" s="95"/>
      <c r="J16" s="96"/>
      <c r="K16" s="97"/>
      <c r="L16" s="98"/>
    </row>
    <row r="17" spans="2:12" x14ac:dyDescent="0.2">
      <c r="B17" s="59"/>
      <c r="C17" s="99" t="s">
        <v>139</v>
      </c>
      <c r="D17" s="101">
        <f>+D65+D66</f>
        <v>8000000</v>
      </c>
      <c r="E17" s="92"/>
      <c r="F17" s="93"/>
      <c r="G17" s="94"/>
      <c r="H17" s="93"/>
      <c r="I17" s="95"/>
      <c r="J17" s="96"/>
      <c r="K17" s="97"/>
      <c r="L17" s="98"/>
    </row>
    <row r="18" spans="2:12" x14ac:dyDescent="0.2">
      <c r="B18" s="59"/>
      <c r="C18" s="99" t="s">
        <v>140</v>
      </c>
      <c r="D18" s="101">
        <v>0</v>
      </c>
      <c r="E18" s="92"/>
      <c r="F18" s="93"/>
      <c r="G18" s="94"/>
      <c r="H18" s="93"/>
      <c r="I18" s="95"/>
      <c r="J18" s="96"/>
      <c r="K18" s="97"/>
      <c r="L18" s="98"/>
    </row>
    <row r="19" spans="2:12" x14ac:dyDescent="0.2">
      <c r="B19" s="59"/>
      <c r="C19" s="99" t="s">
        <v>141</v>
      </c>
      <c r="D19" s="210">
        <f>SUM(D17:D18)</f>
        <v>8000000</v>
      </c>
      <c r="E19" s="92"/>
      <c r="F19" s="93"/>
      <c r="G19" s="94"/>
      <c r="H19" s="93"/>
      <c r="I19" s="95"/>
      <c r="J19" s="96"/>
      <c r="K19" s="97"/>
      <c r="L19" s="98"/>
    </row>
    <row r="20" spans="2:12" x14ac:dyDescent="0.2">
      <c r="B20" s="59"/>
      <c r="C20" s="99"/>
      <c r="D20" s="101"/>
      <c r="E20" s="92"/>
      <c r="F20" s="93"/>
      <c r="G20" s="94"/>
      <c r="H20" s="93"/>
      <c r="I20" s="95"/>
      <c r="J20" s="96"/>
      <c r="K20" s="97"/>
      <c r="L20" s="98"/>
    </row>
    <row r="21" spans="2:12" x14ac:dyDescent="0.2">
      <c r="B21" s="59"/>
      <c r="C21" s="90" t="s">
        <v>66</v>
      </c>
      <c r="D21" s="91"/>
      <c r="E21" s="92"/>
      <c r="F21" s="93"/>
      <c r="G21" s="94"/>
      <c r="H21" s="93"/>
      <c r="I21" s="95"/>
      <c r="J21" s="96"/>
      <c r="K21" s="97"/>
      <c r="L21" s="98"/>
    </row>
    <row r="22" spans="2:12" x14ac:dyDescent="0.2">
      <c r="B22" s="59"/>
      <c r="C22" s="99" t="s">
        <v>142</v>
      </c>
      <c r="D22" s="100"/>
      <c r="E22" s="101"/>
      <c r="F22" s="102"/>
      <c r="G22" s="96"/>
      <c r="H22" s="102"/>
      <c r="I22" s="96">
        <f>+'Desarrollo Ejercicio n°3 A'!G26</f>
        <v>173655</v>
      </c>
      <c r="J22" s="96"/>
      <c r="K22" s="101"/>
      <c r="L22" s="60"/>
    </row>
    <row r="23" spans="2:12" x14ac:dyDescent="0.2">
      <c r="B23" s="59"/>
      <c r="C23" s="99" t="s">
        <v>143</v>
      </c>
      <c r="D23" s="100"/>
      <c r="E23" s="101"/>
      <c r="F23" s="102"/>
      <c r="G23" s="96"/>
      <c r="H23" s="102"/>
      <c r="I23" s="96">
        <f>ROUND(2000000*0.342281,0)</f>
        <v>684562</v>
      </c>
      <c r="J23" s="96"/>
      <c r="K23" s="101"/>
      <c r="L23" s="60"/>
    </row>
    <row r="24" spans="2:12" x14ac:dyDescent="0.2">
      <c r="B24" s="59"/>
      <c r="C24" s="99" t="s">
        <v>144</v>
      </c>
      <c r="D24" s="100"/>
      <c r="E24" s="101">
        <f>SUM(F24:H24)</f>
        <v>2531000</v>
      </c>
      <c r="F24" s="102">
        <f>+D78</f>
        <v>2531000</v>
      </c>
      <c r="G24" s="96"/>
      <c r="H24" s="102"/>
      <c r="I24" s="96"/>
      <c r="J24" s="96"/>
      <c r="K24" s="101"/>
      <c r="L24" s="60"/>
    </row>
    <row r="25" spans="2:12" x14ac:dyDescent="0.2">
      <c r="B25" s="59"/>
      <c r="C25" s="99" t="s">
        <v>145</v>
      </c>
      <c r="D25" s="100"/>
      <c r="E25" s="101">
        <f>SUM(F25:H25)</f>
        <v>3570000</v>
      </c>
      <c r="F25" s="102"/>
      <c r="G25" s="96">
        <f>+F57</f>
        <v>3570000</v>
      </c>
      <c r="H25" s="102"/>
      <c r="I25" s="96"/>
      <c r="J25" s="96"/>
      <c r="K25" s="101"/>
      <c r="L25" s="60"/>
    </row>
    <row r="26" spans="2:12" x14ac:dyDescent="0.2">
      <c r="B26" s="59"/>
      <c r="C26" s="90"/>
      <c r="D26" s="91"/>
      <c r="E26" s="101"/>
      <c r="F26" s="93"/>
      <c r="G26" s="96"/>
      <c r="H26" s="102"/>
      <c r="I26" s="96"/>
      <c r="J26" s="96"/>
      <c r="K26" s="101"/>
      <c r="L26" s="60"/>
    </row>
    <row r="27" spans="2:12" x14ac:dyDescent="0.2">
      <c r="B27" s="59"/>
      <c r="C27" s="211"/>
      <c r="D27" s="105"/>
      <c r="E27" s="105"/>
      <c r="F27" s="102"/>
      <c r="G27" s="96"/>
      <c r="H27" s="102"/>
      <c r="I27" s="96"/>
      <c r="J27" s="96"/>
      <c r="K27" s="101"/>
      <c r="L27" s="60"/>
    </row>
    <row r="28" spans="2:12" x14ac:dyDescent="0.2">
      <c r="B28" s="59"/>
      <c r="C28" s="212" t="s">
        <v>69</v>
      </c>
      <c r="D28" s="152"/>
      <c r="E28" s="87">
        <f t="shared" ref="E28:K28" si="0">SUM(E22:E27)</f>
        <v>6101000</v>
      </c>
      <c r="F28" s="88">
        <f t="shared" si="0"/>
        <v>2531000</v>
      </c>
      <c r="G28" s="89">
        <f t="shared" si="0"/>
        <v>3570000</v>
      </c>
      <c r="H28" s="88">
        <f t="shared" si="0"/>
        <v>0</v>
      </c>
      <c r="I28" s="89">
        <f t="shared" si="0"/>
        <v>858217</v>
      </c>
      <c r="J28" s="89">
        <f t="shared" si="0"/>
        <v>0</v>
      </c>
      <c r="K28" s="87">
        <f t="shared" si="0"/>
        <v>0</v>
      </c>
      <c r="L28" s="60"/>
    </row>
    <row r="29" spans="2:12" x14ac:dyDescent="0.2">
      <c r="B29" s="59"/>
      <c r="C29" s="99"/>
      <c r="D29" s="100"/>
      <c r="E29" s="106"/>
      <c r="F29" s="102"/>
      <c r="G29" s="106"/>
      <c r="H29" s="102"/>
      <c r="I29" s="106"/>
      <c r="J29" s="106"/>
      <c r="K29" s="106"/>
      <c r="L29" s="60"/>
    </row>
    <row r="30" spans="2:12" x14ac:dyDescent="0.2">
      <c r="B30" s="59"/>
      <c r="C30" s="90" t="s">
        <v>146</v>
      </c>
      <c r="D30" s="100"/>
      <c r="E30" s="96"/>
      <c r="F30" s="102"/>
      <c r="G30" s="96"/>
      <c r="H30" s="102"/>
      <c r="I30" s="96"/>
      <c r="J30" s="96"/>
      <c r="K30" s="96"/>
      <c r="L30" s="60"/>
    </row>
    <row r="31" spans="2:12" x14ac:dyDescent="0.2">
      <c r="B31" s="59"/>
      <c r="C31" s="99" t="s">
        <v>139</v>
      </c>
      <c r="D31" s="213">
        <f>+F65</f>
        <v>4008000</v>
      </c>
      <c r="E31" s="96"/>
      <c r="F31" s="102"/>
      <c r="G31" s="96"/>
      <c r="H31" s="102"/>
      <c r="I31" s="96"/>
      <c r="J31" s="96"/>
      <c r="K31" s="96"/>
      <c r="L31" s="60"/>
    </row>
    <row r="32" spans="2:12" x14ac:dyDescent="0.2">
      <c r="B32" s="59"/>
      <c r="C32" s="99" t="s">
        <v>140</v>
      </c>
      <c r="D32" s="105">
        <f>+E32</f>
        <v>-3050500</v>
      </c>
      <c r="E32" s="101">
        <f>SUM(F32:H32)</f>
        <v>-3050500</v>
      </c>
      <c r="F32" s="102">
        <f>-F28/2</f>
        <v>-1265500</v>
      </c>
      <c r="G32" s="96">
        <f>-G28/2</f>
        <v>-1785000</v>
      </c>
      <c r="H32" s="102"/>
      <c r="I32" s="96">
        <f>-ROUND(I28*50%,2)</f>
        <v>-429108.5</v>
      </c>
      <c r="J32" s="96"/>
      <c r="K32" s="96"/>
      <c r="L32" s="60"/>
    </row>
    <row r="33" spans="2:14" x14ac:dyDescent="0.2">
      <c r="B33" s="59"/>
      <c r="C33" s="108" t="s">
        <v>147</v>
      </c>
      <c r="D33" s="153">
        <f>SUM(D31:D32)</f>
        <v>957500</v>
      </c>
      <c r="E33" s="96"/>
      <c r="F33" s="102"/>
      <c r="G33" s="96"/>
      <c r="H33" s="102"/>
      <c r="I33" s="96"/>
      <c r="J33" s="96"/>
      <c r="K33" s="96"/>
      <c r="L33" s="60"/>
    </row>
    <row r="34" spans="2:14" x14ac:dyDescent="0.2">
      <c r="B34" s="59"/>
      <c r="C34" s="99"/>
      <c r="D34" s="101"/>
      <c r="E34" s="96"/>
      <c r="F34" s="102"/>
      <c r="G34" s="96"/>
      <c r="H34" s="102"/>
      <c r="I34" s="96"/>
      <c r="J34" s="96"/>
      <c r="K34" s="96"/>
      <c r="L34" s="60"/>
    </row>
    <row r="35" spans="2:14" x14ac:dyDescent="0.2">
      <c r="B35" s="59"/>
      <c r="C35" s="90" t="s">
        <v>148</v>
      </c>
      <c r="D35" s="101"/>
      <c r="E35" s="96"/>
      <c r="F35" s="102"/>
      <c r="G35" s="96"/>
      <c r="H35" s="102"/>
      <c r="I35" s="96"/>
      <c r="J35" s="96"/>
      <c r="K35" s="96"/>
      <c r="L35" s="60"/>
    </row>
    <row r="36" spans="2:14" x14ac:dyDescent="0.2">
      <c r="B36" s="59"/>
      <c r="C36" s="99" t="s">
        <v>139</v>
      </c>
      <c r="D36" s="213">
        <f>+F66</f>
        <v>4008000</v>
      </c>
      <c r="E36" s="96"/>
      <c r="F36" s="102"/>
      <c r="G36" s="96"/>
      <c r="H36" s="102"/>
      <c r="I36" s="96"/>
      <c r="J36" s="96"/>
      <c r="K36" s="96"/>
      <c r="L36" s="60"/>
    </row>
    <row r="37" spans="2:14" x14ac:dyDescent="0.2">
      <c r="B37" s="59"/>
      <c r="C37" s="99" t="s">
        <v>140</v>
      </c>
      <c r="D37" s="105">
        <f>+E37</f>
        <v>-3050500</v>
      </c>
      <c r="E37" s="96">
        <f>SUM(F37:H37)</f>
        <v>-3050500</v>
      </c>
      <c r="F37" s="102">
        <f>+F32</f>
        <v>-1265500</v>
      </c>
      <c r="G37" s="96">
        <f>+G32</f>
        <v>-1785000</v>
      </c>
      <c r="H37" s="58"/>
      <c r="I37" s="96">
        <f>-ROUND(I28*50%,2)</f>
        <v>-429108.5</v>
      </c>
      <c r="J37" s="107"/>
      <c r="K37" s="107"/>
      <c r="L37" s="60"/>
    </row>
    <row r="38" spans="2:14" x14ac:dyDescent="0.2">
      <c r="B38" s="59"/>
      <c r="C38" s="108" t="s">
        <v>147</v>
      </c>
      <c r="D38" s="153">
        <f>SUM(D36:D37)</f>
        <v>957500</v>
      </c>
      <c r="E38" s="107"/>
      <c r="F38" s="58"/>
      <c r="G38" s="107"/>
      <c r="H38" s="58"/>
      <c r="I38" s="107"/>
      <c r="J38" s="107"/>
      <c r="K38" s="107"/>
      <c r="L38" s="60"/>
    </row>
    <row r="39" spans="2:14" x14ac:dyDescent="0.2">
      <c r="B39" s="59"/>
      <c r="C39" s="108"/>
      <c r="D39" s="153"/>
      <c r="E39" s="107"/>
      <c r="F39" s="58"/>
      <c r="G39" s="107"/>
      <c r="H39" s="58"/>
      <c r="I39" s="107"/>
      <c r="J39" s="107"/>
      <c r="K39" s="107"/>
      <c r="L39" s="60"/>
    </row>
    <row r="40" spans="2:14" x14ac:dyDescent="0.2">
      <c r="B40" s="59"/>
      <c r="C40" s="108" t="s">
        <v>26</v>
      </c>
      <c r="D40" s="153">
        <f>-'Desarrollo Ejercicio n°3 A'!F16</f>
        <v>-150000</v>
      </c>
      <c r="E40" s="107"/>
      <c r="F40" s="58"/>
      <c r="G40" s="107"/>
      <c r="H40" s="58"/>
      <c r="I40" s="96">
        <f>ROUND(D40*I13,0)</f>
        <v>-51342</v>
      </c>
      <c r="J40" s="107"/>
      <c r="K40" s="107"/>
      <c r="L40" s="60"/>
    </row>
    <row r="41" spans="2:14" x14ac:dyDescent="0.2">
      <c r="B41" s="59"/>
      <c r="C41" s="110"/>
      <c r="D41" s="111"/>
      <c r="E41" s="107"/>
      <c r="F41" s="58"/>
      <c r="G41" s="107"/>
      <c r="H41" s="58"/>
      <c r="I41" s="107"/>
      <c r="J41" s="107"/>
      <c r="K41" s="107"/>
      <c r="L41" s="60"/>
    </row>
    <row r="42" spans="2:14" x14ac:dyDescent="0.2">
      <c r="B42" s="59"/>
      <c r="C42" s="85" t="s">
        <v>149</v>
      </c>
      <c r="D42" s="86"/>
      <c r="E42" s="89">
        <f t="shared" ref="E42:K42" si="1">SUM(E28:E41)</f>
        <v>0</v>
      </c>
      <c r="F42" s="88">
        <f t="shared" si="1"/>
        <v>0</v>
      </c>
      <c r="G42" s="89">
        <f t="shared" si="1"/>
        <v>0</v>
      </c>
      <c r="H42" s="88">
        <f t="shared" si="1"/>
        <v>0</v>
      </c>
      <c r="I42" s="89">
        <f t="shared" si="1"/>
        <v>-51342</v>
      </c>
      <c r="J42" s="89">
        <f t="shared" si="1"/>
        <v>0</v>
      </c>
      <c r="K42" s="89">
        <f t="shared" si="1"/>
        <v>0</v>
      </c>
      <c r="L42" s="60"/>
    </row>
    <row r="43" spans="2:14" x14ac:dyDescent="0.2">
      <c r="B43" s="59"/>
      <c r="C43" s="112"/>
      <c r="D43" s="112"/>
      <c r="E43" s="66"/>
      <c r="F43" s="66"/>
      <c r="G43" s="66"/>
      <c r="H43" s="66"/>
      <c r="I43" s="66"/>
      <c r="J43" s="66"/>
      <c r="K43" s="66"/>
      <c r="L43" s="60"/>
    </row>
    <row r="44" spans="2:14" x14ac:dyDescent="0.2">
      <c r="B44" s="59"/>
      <c r="C44" s="112"/>
      <c r="D44" s="112"/>
      <c r="E44" s="112"/>
      <c r="F44" s="58"/>
      <c r="G44" s="58"/>
      <c r="H44" s="58"/>
      <c r="I44" s="58"/>
      <c r="J44" s="58"/>
      <c r="K44" s="58"/>
      <c r="L44" s="60"/>
    </row>
    <row r="45" spans="2:14" x14ac:dyDescent="0.2">
      <c r="B45" s="59"/>
      <c r="C45" s="61" t="s">
        <v>150</v>
      </c>
      <c r="D45" s="113" t="s">
        <v>151</v>
      </c>
      <c r="E45" s="113" t="s">
        <v>152</v>
      </c>
      <c r="F45" s="58"/>
      <c r="G45" s="58"/>
      <c r="H45" s="178"/>
      <c r="I45" s="178"/>
      <c r="J45" s="178"/>
      <c r="K45" s="178"/>
      <c r="L45" s="179"/>
      <c r="M45" s="172"/>
      <c r="N45" s="172"/>
    </row>
    <row r="46" spans="2:14" x14ac:dyDescent="0.2">
      <c r="B46" s="59"/>
      <c r="C46" s="58"/>
      <c r="D46" s="58"/>
      <c r="E46" s="58"/>
      <c r="F46" s="58"/>
      <c r="G46" s="58"/>
      <c r="H46" s="178"/>
      <c r="I46" s="178"/>
      <c r="J46" s="178"/>
      <c r="K46" s="178"/>
      <c r="L46" s="179"/>
      <c r="M46" s="172"/>
      <c r="N46" s="172"/>
    </row>
    <row r="47" spans="2:14" x14ac:dyDescent="0.2">
      <c r="B47" s="59"/>
      <c r="C47" s="58" t="s">
        <v>153</v>
      </c>
      <c r="D47" s="114">
        <f>-F32</f>
        <v>1265500</v>
      </c>
      <c r="E47" s="114">
        <f>+D47</f>
        <v>1265500</v>
      </c>
      <c r="F47" s="58"/>
      <c r="G47" s="58"/>
      <c r="H47" s="178"/>
      <c r="I47" s="178"/>
      <c r="J47" s="178"/>
      <c r="K47" s="178"/>
      <c r="L47" s="179"/>
      <c r="M47" s="172"/>
      <c r="N47" s="172"/>
    </row>
    <row r="48" spans="2:14" x14ac:dyDescent="0.2">
      <c r="B48" s="59"/>
      <c r="C48" s="58" t="s">
        <v>154</v>
      </c>
      <c r="D48" s="114">
        <f>-G32</f>
        <v>1785000</v>
      </c>
      <c r="E48" s="114">
        <f>+D48</f>
        <v>1785000</v>
      </c>
      <c r="F48" s="58"/>
      <c r="G48" s="58"/>
      <c r="H48" s="178"/>
      <c r="I48" s="178"/>
      <c r="J48" s="178"/>
      <c r="K48" s="178"/>
      <c r="L48" s="179"/>
      <c r="M48" s="172"/>
      <c r="N48" s="172"/>
    </row>
    <row r="49" spans="2:14" x14ac:dyDescent="0.2">
      <c r="B49" s="59"/>
      <c r="C49" s="58" t="s">
        <v>155</v>
      </c>
      <c r="D49" s="115">
        <f>+D33</f>
        <v>957500</v>
      </c>
      <c r="E49" s="115">
        <f>+D49</f>
        <v>957500</v>
      </c>
      <c r="F49" s="58"/>
      <c r="G49" s="58"/>
      <c r="H49" s="178"/>
      <c r="I49" s="178"/>
      <c r="J49" s="178"/>
      <c r="K49" s="178"/>
      <c r="L49" s="179"/>
      <c r="M49" s="172"/>
      <c r="N49" s="172"/>
    </row>
    <row r="50" spans="2:14" x14ac:dyDescent="0.2">
      <c r="B50" s="59"/>
      <c r="C50" s="58"/>
      <c r="D50" s="116"/>
      <c r="E50" s="116"/>
      <c r="F50" s="58"/>
      <c r="G50" s="58"/>
      <c r="H50" s="178"/>
      <c r="I50" s="178"/>
      <c r="J50" s="178"/>
      <c r="K50" s="178"/>
      <c r="L50" s="179"/>
      <c r="M50" s="172"/>
      <c r="N50" s="172"/>
    </row>
    <row r="51" spans="2:14" x14ac:dyDescent="0.2">
      <c r="B51" s="59"/>
      <c r="C51" s="117" t="s">
        <v>156</v>
      </c>
      <c r="D51" s="118">
        <f>SUM(D47:D50)</f>
        <v>4008000</v>
      </c>
      <c r="E51" s="119">
        <f>SUM(E47:E50)</f>
        <v>4008000</v>
      </c>
      <c r="F51" s="58"/>
      <c r="G51" s="58"/>
      <c r="H51" s="178"/>
      <c r="I51" s="178"/>
      <c r="J51" s="178"/>
      <c r="K51" s="178"/>
      <c r="L51" s="179"/>
      <c r="M51" s="172"/>
      <c r="N51" s="172"/>
    </row>
    <row r="52" spans="2:14" x14ac:dyDescent="0.2">
      <c r="B52" s="59"/>
      <c r="C52" s="61"/>
      <c r="D52" s="214"/>
      <c r="E52" s="214"/>
      <c r="F52" s="58"/>
      <c r="G52" s="58"/>
      <c r="H52" s="178"/>
      <c r="I52" s="178"/>
      <c r="J52" s="178"/>
      <c r="K52" s="178"/>
      <c r="L52" s="179"/>
      <c r="M52" s="172"/>
      <c r="N52" s="172"/>
    </row>
    <row r="53" spans="2:14" x14ac:dyDescent="0.2">
      <c r="B53" s="59"/>
      <c r="C53" s="61"/>
      <c r="D53" s="214"/>
      <c r="E53" s="214"/>
      <c r="F53" s="58"/>
      <c r="G53" s="58"/>
      <c r="H53" s="178"/>
      <c r="I53" s="178"/>
      <c r="J53" s="178"/>
      <c r="K53" s="178"/>
      <c r="L53" s="179"/>
      <c r="M53" s="172"/>
      <c r="N53" s="172"/>
    </row>
    <row r="54" spans="2:14" x14ac:dyDescent="0.2">
      <c r="B54" s="59"/>
      <c r="C54" s="120" t="s">
        <v>81</v>
      </c>
      <c r="D54" s="214"/>
      <c r="E54" s="214"/>
      <c r="F54" s="58"/>
      <c r="G54" s="58"/>
      <c r="H54" s="178"/>
      <c r="I54" s="178"/>
      <c r="J54" s="178"/>
      <c r="K54" s="178"/>
      <c r="L54" s="179"/>
      <c r="M54" s="172"/>
      <c r="N54" s="172"/>
    </row>
    <row r="55" spans="2:14" x14ac:dyDescent="0.2">
      <c r="B55" s="59"/>
      <c r="C55" s="112"/>
      <c r="D55" s="112"/>
      <c r="E55" s="112"/>
      <c r="F55" s="58"/>
      <c r="G55" s="58"/>
      <c r="H55" s="178"/>
      <c r="I55" s="178"/>
      <c r="J55" s="178"/>
      <c r="K55" s="178"/>
      <c r="L55" s="179"/>
      <c r="M55" s="172"/>
      <c r="N55" s="172"/>
    </row>
    <row r="56" spans="2:14" x14ac:dyDescent="0.2">
      <c r="B56" s="59"/>
      <c r="C56" s="121" t="s">
        <v>82</v>
      </c>
      <c r="D56" s="160" t="s">
        <v>83</v>
      </c>
      <c r="E56" s="160" t="s">
        <v>84</v>
      </c>
      <c r="F56" s="157" t="s">
        <v>59</v>
      </c>
      <c r="G56" s="58"/>
      <c r="H56" s="178"/>
      <c r="I56" s="178"/>
      <c r="J56" s="178"/>
      <c r="K56" s="178"/>
      <c r="L56" s="179"/>
      <c r="M56" s="172"/>
      <c r="N56" s="172"/>
    </row>
    <row r="57" spans="2:14" x14ac:dyDescent="0.2">
      <c r="B57" s="59"/>
      <c r="C57" s="124">
        <f>-+'Planteamiento Ejercicio n°3'!G49*3</f>
        <v>15300000</v>
      </c>
      <c r="D57" s="125">
        <f>+C57/10</f>
        <v>1530000</v>
      </c>
      <c r="E57" s="125">
        <f>-+'Desarrollo Ejercicio n°3 A'!F20</f>
        <v>5100000</v>
      </c>
      <c r="F57" s="126">
        <f>-+'Planteamiento Ejercicio n°3'!G49-D57</f>
        <v>3570000</v>
      </c>
      <c r="G57" s="58"/>
      <c r="H57" s="178"/>
      <c r="I57" s="178"/>
      <c r="J57" s="178"/>
      <c r="K57" s="178"/>
      <c r="L57" s="179"/>
      <c r="M57" s="172"/>
      <c r="N57" s="172"/>
    </row>
    <row r="58" spans="2:14" x14ac:dyDescent="0.2">
      <c r="B58" s="59"/>
      <c r="C58" s="215"/>
      <c r="D58" s="215"/>
      <c r="E58" s="215"/>
      <c r="F58" s="215"/>
      <c r="G58" s="58"/>
      <c r="H58" s="178"/>
      <c r="I58" s="178"/>
      <c r="J58" s="178"/>
      <c r="K58" s="178"/>
      <c r="L58" s="179"/>
      <c r="M58" s="172"/>
      <c r="N58" s="172"/>
    </row>
    <row r="59" spans="2:14" x14ac:dyDescent="0.2">
      <c r="B59" s="59"/>
      <c r="C59" s="112"/>
      <c r="D59" s="112"/>
      <c r="E59" s="112"/>
      <c r="F59" s="58"/>
      <c r="G59" s="58"/>
      <c r="H59" s="178"/>
      <c r="I59" s="178"/>
      <c r="J59" s="178"/>
      <c r="K59" s="178"/>
      <c r="L59" s="179"/>
      <c r="M59" s="172"/>
      <c r="N59" s="172"/>
    </row>
    <row r="60" spans="2:14" ht="25.5" x14ac:dyDescent="0.2">
      <c r="B60" s="59"/>
      <c r="C60" s="158" t="s">
        <v>85</v>
      </c>
      <c r="D60" s="83" t="s">
        <v>86</v>
      </c>
      <c r="E60" s="80" t="s">
        <v>87</v>
      </c>
      <c r="F60" s="58"/>
      <c r="G60" s="58"/>
      <c r="H60" s="178"/>
      <c r="I60" s="314"/>
      <c r="J60" s="178"/>
      <c r="K60" s="178"/>
      <c r="L60" s="179"/>
      <c r="M60" s="172"/>
      <c r="N60" s="172"/>
    </row>
    <row r="61" spans="2:14" x14ac:dyDescent="0.2">
      <c r="B61" s="59"/>
      <c r="C61" s="128">
        <v>2000000</v>
      </c>
      <c r="D61" s="129">
        <v>0.342281</v>
      </c>
      <c r="E61" s="130">
        <f>C61*D61</f>
        <v>684562</v>
      </c>
      <c r="F61" s="58"/>
      <c r="G61" s="58"/>
      <c r="H61" s="178"/>
      <c r="I61" s="240"/>
      <c r="J61" s="317"/>
      <c r="K61" s="178"/>
      <c r="L61" s="179"/>
      <c r="M61" s="172"/>
      <c r="N61" s="172"/>
    </row>
    <row r="62" spans="2:14" x14ac:dyDescent="0.2">
      <c r="B62" s="59"/>
      <c r="C62" s="216"/>
      <c r="D62" s="112"/>
      <c r="E62" s="216"/>
      <c r="F62" s="58"/>
      <c r="G62" s="58"/>
      <c r="H62" s="178"/>
      <c r="I62" s="240"/>
      <c r="J62" s="178"/>
      <c r="K62" s="178"/>
      <c r="L62" s="179"/>
      <c r="M62" s="172"/>
      <c r="N62" s="172"/>
    </row>
    <row r="63" spans="2:14" x14ac:dyDescent="0.2">
      <c r="B63" s="59"/>
      <c r="C63" s="112"/>
      <c r="D63" s="112"/>
      <c r="E63" s="112"/>
      <c r="F63" s="112"/>
      <c r="G63" s="112"/>
      <c r="H63" s="178"/>
      <c r="I63" s="178"/>
      <c r="J63" s="178"/>
      <c r="K63" s="178"/>
      <c r="L63" s="179"/>
      <c r="M63" s="172"/>
      <c r="N63" s="172"/>
    </row>
    <row r="64" spans="2:14" ht="38.25" x14ac:dyDescent="0.2">
      <c r="B64" s="59"/>
      <c r="C64" s="58"/>
      <c r="D64" s="161" t="s">
        <v>157</v>
      </c>
      <c r="E64" s="161" t="s">
        <v>89</v>
      </c>
      <c r="F64" s="83" t="s">
        <v>158</v>
      </c>
      <c r="G64" s="22"/>
      <c r="H64" s="178"/>
      <c r="I64" s="178"/>
      <c r="J64" s="178"/>
      <c r="K64" s="178"/>
      <c r="L64" s="179"/>
      <c r="M64" s="172"/>
      <c r="N64" s="172"/>
    </row>
    <row r="65" spans="2:14" x14ac:dyDescent="0.2">
      <c r="B65" s="59"/>
      <c r="C65" s="217" t="s">
        <v>159</v>
      </c>
      <c r="D65" s="210">
        <v>4000000</v>
      </c>
      <c r="E65" s="134">
        <v>2E-3</v>
      </c>
      <c r="F65" s="218">
        <f>ROUND(D65*E65,0)+D65</f>
        <v>4008000</v>
      </c>
      <c r="G65" s="219"/>
      <c r="H65" s="178"/>
      <c r="I65" s="178"/>
      <c r="J65" s="178"/>
      <c r="K65" s="178"/>
      <c r="L65" s="179"/>
      <c r="M65" s="172"/>
      <c r="N65" s="172"/>
    </row>
    <row r="66" spans="2:14" x14ac:dyDescent="0.2">
      <c r="B66" s="59"/>
      <c r="C66" s="154" t="s">
        <v>160</v>
      </c>
      <c r="D66" s="105">
        <v>4000000</v>
      </c>
      <c r="E66" s="139">
        <v>2E-3</v>
      </c>
      <c r="F66" s="220">
        <f>ROUND(D66*E66,0)+D66</f>
        <v>4008000</v>
      </c>
      <c r="G66" s="219"/>
      <c r="H66" s="178"/>
      <c r="I66" s="178"/>
      <c r="J66" s="178"/>
      <c r="K66" s="178"/>
      <c r="L66" s="179"/>
      <c r="M66" s="172"/>
      <c r="N66" s="172"/>
    </row>
    <row r="67" spans="2:14" x14ac:dyDescent="0.2">
      <c r="B67" s="59"/>
      <c r="C67" s="112"/>
      <c r="D67" s="112"/>
      <c r="E67" s="112"/>
      <c r="F67" s="221">
        <f>SUM(F65:F66)</f>
        <v>8016000</v>
      </c>
      <c r="G67" s="222"/>
      <c r="H67" s="178"/>
      <c r="I67" s="178"/>
      <c r="J67" s="178"/>
      <c r="K67" s="178"/>
      <c r="L67" s="179"/>
      <c r="M67" s="172"/>
      <c r="N67" s="172"/>
    </row>
    <row r="68" spans="2:14" x14ac:dyDescent="0.2">
      <c r="B68" s="59"/>
      <c r="C68" s="112"/>
      <c r="D68" s="112"/>
      <c r="E68" s="112"/>
      <c r="F68" s="223"/>
      <c r="G68" s="222"/>
      <c r="H68" s="178"/>
      <c r="I68" s="178"/>
      <c r="J68" s="178"/>
      <c r="K68" s="178"/>
      <c r="L68" s="179"/>
      <c r="M68" s="172"/>
      <c r="N68" s="172"/>
    </row>
    <row r="69" spans="2:14" x14ac:dyDescent="0.2">
      <c r="B69" s="59"/>
      <c r="C69" s="58"/>
      <c r="D69" s="58"/>
      <c r="E69" s="58"/>
      <c r="F69" s="178"/>
      <c r="G69" s="298"/>
      <c r="H69" s="298"/>
      <c r="I69" s="298"/>
      <c r="J69" s="298"/>
      <c r="K69" s="298"/>
      <c r="L69" s="296"/>
      <c r="M69" s="162"/>
      <c r="N69" s="172"/>
    </row>
    <row r="70" spans="2:14" x14ac:dyDescent="0.2">
      <c r="B70" s="59"/>
      <c r="C70" s="121" t="s">
        <v>161</v>
      </c>
      <c r="D70" s="224" t="s">
        <v>162</v>
      </c>
      <c r="E70" s="161"/>
      <c r="F70" s="225"/>
      <c r="G70" s="225"/>
      <c r="H70" s="225"/>
      <c r="I70" s="225"/>
      <c r="J70" s="226"/>
      <c r="K70" s="298"/>
      <c r="L70" s="296"/>
      <c r="M70" s="162"/>
      <c r="N70" s="172"/>
    </row>
    <row r="71" spans="2:14" x14ac:dyDescent="0.2">
      <c r="B71" s="59"/>
      <c r="C71" s="227" t="s">
        <v>163</v>
      </c>
      <c r="D71" s="228">
        <f>+J77</f>
        <v>35675000</v>
      </c>
      <c r="E71" s="229" t="s">
        <v>164</v>
      </c>
      <c r="F71" s="225"/>
      <c r="G71" s="230" t="s">
        <v>165</v>
      </c>
      <c r="H71" s="231"/>
      <c r="I71" s="231"/>
      <c r="J71" s="226">
        <v>40000000</v>
      </c>
      <c r="K71" s="298"/>
      <c r="L71" s="296"/>
      <c r="M71" s="162"/>
      <c r="N71" s="172"/>
    </row>
    <row r="72" spans="2:14" x14ac:dyDescent="0.2">
      <c r="B72" s="59"/>
      <c r="C72" s="409" t="s">
        <v>166</v>
      </c>
      <c r="D72" s="397">
        <f>F67</f>
        <v>8016000</v>
      </c>
      <c r="E72" s="410" t="s">
        <v>164</v>
      </c>
      <c r="F72" s="225"/>
      <c r="G72" s="230" t="s">
        <v>167</v>
      </c>
      <c r="H72" s="231"/>
      <c r="I72" s="231"/>
      <c r="J72" s="226">
        <v>2000000</v>
      </c>
      <c r="K72" s="298"/>
      <c r="L72" s="296"/>
      <c r="M72" s="162"/>
      <c r="N72" s="172"/>
    </row>
    <row r="73" spans="2:14" x14ac:dyDescent="0.2">
      <c r="B73" s="59"/>
      <c r="C73" s="409"/>
      <c r="D73" s="397"/>
      <c r="E73" s="410"/>
      <c r="F73" s="225"/>
      <c r="G73" s="230" t="s">
        <v>168</v>
      </c>
      <c r="H73" s="231"/>
      <c r="I73" s="231"/>
      <c r="J73" s="226">
        <f>-F67+16000</f>
        <v>-8000000</v>
      </c>
      <c r="K73" s="298"/>
      <c r="L73" s="296"/>
      <c r="M73" s="162"/>
      <c r="N73" s="172"/>
    </row>
    <row r="74" spans="2:14" x14ac:dyDescent="0.2">
      <c r="B74" s="59"/>
      <c r="C74" s="409"/>
      <c r="D74" s="397"/>
      <c r="E74" s="410"/>
      <c r="F74" s="225"/>
      <c r="G74" s="230" t="s">
        <v>169</v>
      </c>
      <c r="H74" s="231"/>
      <c r="I74" s="231"/>
      <c r="J74" s="226">
        <f>+'Desarrollo Ejercicio n°3 A'!G24</f>
        <v>681000</v>
      </c>
      <c r="K74" s="298"/>
      <c r="L74" s="296"/>
      <c r="M74" s="162"/>
      <c r="N74" s="172"/>
    </row>
    <row r="75" spans="2:14" x14ac:dyDescent="0.2">
      <c r="B75" s="59"/>
      <c r="C75" s="110" t="s">
        <v>170</v>
      </c>
      <c r="D75" s="232">
        <v>0</v>
      </c>
      <c r="E75" s="233" t="s">
        <v>171</v>
      </c>
      <c r="F75" s="231"/>
      <c r="G75" s="230" t="s">
        <v>172</v>
      </c>
      <c r="H75" s="231"/>
      <c r="I75" s="231"/>
      <c r="J75" s="226">
        <f>-'Desarrollo Ejercicio n°3 A'!F19</f>
        <v>1144000</v>
      </c>
      <c r="K75" s="298"/>
      <c r="L75" s="296"/>
      <c r="M75" s="162"/>
      <c r="N75" s="172"/>
    </row>
    <row r="76" spans="2:14" x14ac:dyDescent="0.2">
      <c r="B76" s="59"/>
      <c r="C76" s="395" t="s">
        <v>173</v>
      </c>
      <c r="D76" s="397">
        <f>-40000000-1160000</f>
        <v>-41160000</v>
      </c>
      <c r="E76" s="399" t="s">
        <v>171</v>
      </c>
      <c r="F76" s="234"/>
      <c r="G76" s="230" t="s">
        <v>174</v>
      </c>
      <c r="H76" s="231"/>
      <c r="I76" s="231"/>
      <c r="J76" s="226">
        <f>-'Desarrollo Ejercicio n°3 A'!F16</f>
        <v>-150000</v>
      </c>
      <c r="K76" s="298"/>
      <c r="L76" s="296"/>
      <c r="M76" s="162"/>
      <c r="N76" s="172"/>
    </row>
    <row r="77" spans="2:14" x14ac:dyDescent="0.2">
      <c r="B77" s="59"/>
      <c r="C77" s="396"/>
      <c r="D77" s="398"/>
      <c r="E77" s="400"/>
      <c r="F77" s="235" t="s">
        <v>175</v>
      </c>
      <c r="G77" s="236" t="s">
        <v>176</v>
      </c>
      <c r="H77" s="231"/>
      <c r="I77" s="231"/>
      <c r="J77" s="237">
        <f>SUM(J71:J76)</f>
        <v>35675000</v>
      </c>
      <c r="K77" s="298"/>
      <c r="L77" s="296"/>
      <c r="M77" s="162"/>
      <c r="N77" s="172"/>
    </row>
    <row r="78" spans="2:14" x14ac:dyDescent="0.2">
      <c r="B78" s="59"/>
      <c r="C78" s="137" t="s">
        <v>177</v>
      </c>
      <c r="D78" s="238">
        <f>SUM(D71:D77)</f>
        <v>2531000</v>
      </c>
      <c r="E78" s="239" t="s">
        <v>178</v>
      </c>
      <c r="F78" s="178"/>
      <c r="G78" s="299"/>
      <c r="H78" s="298"/>
      <c r="I78" s="299"/>
      <c r="J78" s="298"/>
      <c r="K78" s="298"/>
      <c r="L78" s="296"/>
      <c r="M78" s="162"/>
      <c r="N78" s="172"/>
    </row>
    <row r="79" spans="2:14" ht="13.5" thickBot="1" x14ac:dyDescent="0.25">
      <c r="B79" s="143"/>
      <c r="C79" s="144"/>
      <c r="D79" s="144"/>
      <c r="E79" s="144"/>
      <c r="F79" s="184"/>
      <c r="G79" s="365"/>
      <c r="H79" s="366"/>
      <c r="I79" s="365"/>
      <c r="J79" s="367"/>
      <c r="K79" s="366"/>
      <c r="L79" s="368"/>
      <c r="M79" s="162"/>
      <c r="N79" s="172"/>
    </row>
    <row r="80" spans="2:14" x14ac:dyDescent="0.2">
      <c r="G80" s="162"/>
      <c r="H80" s="162"/>
      <c r="I80" s="162"/>
      <c r="J80" s="162"/>
      <c r="K80" s="162"/>
      <c r="L80" s="162"/>
      <c r="M80" s="162"/>
      <c r="N80" s="172"/>
    </row>
    <row r="81" spans="8:14" x14ac:dyDescent="0.2">
      <c r="H81" s="172"/>
      <c r="I81" s="172"/>
      <c r="J81" s="172"/>
      <c r="K81" s="172"/>
      <c r="L81" s="172"/>
      <c r="M81" s="172"/>
      <c r="N81" s="172"/>
    </row>
  </sheetData>
  <mergeCells count="15">
    <mergeCell ref="C76:C77"/>
    <mergeCell ref="D76:D77"/>
    <mergeCell ref="E76:E77"/>
    <mergeCell ref="K9:K13"/>
    <mergeCell ref="I10:J10"/>
    <mergeCell ref="J11:J13"/>
    <mergeCell ref="C72:C74"/>
    <mergeCell ref="D72:D74"/>
    <mergeCell ref="E72:E74"/>
    <mergeCell ref="C9:C10"/>
    <mergeCell ref="E9:E13"/>
    <mergeCell ref="F9:F13"/>
    <mergeCell ref="G9:G13"/>
    <mergeCell ref="H9:H13"/>
    <mergeCell ref="I9:J9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Planteamiento Ejercicio n°1</vt:lpstr>
      <vt:lpstr>Desarrollo Ejercicio n°1 A</vt:lpstr>
      <vt:lpstr>Desarrollo Ejercicio n°1 B y C</vt:lpstr>
      <vt:lpstr>Planteamiento Ejercicio n°2</vt:lpstr>
      <vt:lpstr>Desarrollo Ejercicio n°2 A</vt:lpstr>
      <vt:lpstr>Desarrollo Ejercicio n°2 B y C</vt:lpstr>
      <vt:lpstr>Planteamiento Ejercicio n°3</vt:lpstr>
      <vt:lpstr>Desarrollo Ejercicio n°3 A</vt:lpstr>
      <vt:lpstr>Desarrollo Ejercicio n°3 B y C</vt:lpstr>
      <vt:lpstr>Planteamiento Ejercicio n°4</vt:lpstr>
      <vt:lpstr>Desarrollo Ejercicio n°4 A</vt:lpstr>
      <vt:lpstr>Desarrollo Ejercicio n°4 B y C</vt:lpstr>
      <vt:lpstr>'Desarrollo Ejercicio n°1 A'!Área_de_impresión</vt:lpstr>
      <vt:lpstr>'Desarrollo Ejercicio n°1 B y C'!Área_de_impresión</vt:lpstr>
      <vt:lpstr>'Desarrollo Ejercicio n°2 A'!Área_de_impresión</vt:lpstr>
      <vt:lpstr>'Desarrollo Ejercicio n°2 B y C'!Área_de_impresión</vt:lpstr>
      <vt:lpstr>'Desarrollo Ejercicio n°3 A'!Área_de_impresión</vt:lpstr>
      <vt:lpstr>'Desarrollo Ejercicio n°3 B y C'!Área_de_impresión</vt:lpstr>
      <vt:lpstr>'Desarrollo Ejercicio n°4 A'!Área_de_impresión</vt:lpstr>
      <vt:lpstr>'Desarrollo Ejercicio n°4 B y C'!Área_de_impresión</vt:lpstr>
      <vt:lpstr>'Planteamiento Ejercicio n°1'!Área_de_impresión</vt:lpstr>
      <vt:lpstr>'Planteamiento Ejercicio n°2'!Área_de_impresión</vt:lpstr>
      <vt:lpstr>'Planteamiento Ejercicio n°3'!Área_de_impresión</vt:lpstr>
      <vt:lpstr>'Planteamiento Ejercicio n°4'!Área_de_impresión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E Martínez Peñailillo</dc:creator>
  <cp:lastModifiedBy>Claudia Valdés Muñoz</cp:lastModifiedBy>
  <cp:lastPrinted>2017-11-09T15:55:48Z</cp:lastPrinted>
  <dcterms:created xsi:type="dcterms:W3CDTF">2017-05-16T23:49:47Z</dcterms:created>
  <dcterms:modified xsi:type="dcterms:W3CDTF">2017-11-09T22:49:17Z</dcterms:modified>
</cp:coreProperties>
</file>