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mc:AlternateContent xmlns:mc="http://schemas.openxmlformats.org/markup-compatibility/2006">
    <mc:Choice Requires="x15">
      <x15ac:absPath xmlns:x15ac="http://schemas.microsoft.com/office/spreadsheetml/2010/11/ac" url="C:\Users\clauv\Desktop\SEMINARIOS TRIBUTARIOS\"/>
    </mc:Choice>
  </mc:AlternateContent>
  <bookViews>
    <workbookView xWindow="0" yWindow="0" windowWidth="20490" windowHeight="8295" firstSheet="3" activeTab="5" xr2:uid="{00000000-000D-0000-FFFF-FFFF00000000}"/>
  </bookViews>
  <sheets>
    <sheet name="Planteamiento Ejercicio n°11" sheetId="1" r:id="rId1"/>
    <sheet name="Desarrollo Ejercicio n°11 A" sheetId="2" r:id="rId2"/>
    <sheet name="Desarrollo Ejercicio n°11 B y C" sheetId="3" r:id="rId3"/>
    <sheet name="Planteamiento Ejercicio n°12" sheetId="4" r:id="rId4"/>
    <sheet name="Desarrollo Ejercicio n°12 A" sheetId="5" r:id="rId5"/>
    <sheet name="Desarrollo Ejercicio n°12 B y C" sheetId="6" r:id="rId6"/>
  </sheets>
  <definedNames>
    <definedName name="_xlnm.Print_Area" localSheetId="1">'Desarrollo Ejercicio n°11 A'!$B$2:$G$50</definedName>
    <definedName name="_xlnm.Print_Area" localSheetId="2">'Desarrollo Ejercicio n°11 B y C'!$B$2:$M$50</definedName>
    <definedName name="_xlnm.Print_Area" localSheetId="4">'Desarrollo Ejercicio n°12 A'!$B$2:$H$29</definedName>
    <definedName name="_xlnm.Print_Area" localSheetId="5">'Desarrollo Ejercicio n°12 B y C'!$B$2:$O$101</definedName>
    <definedName name="_xlnm.Print_Area" localSheetId="0">'Planteamiento Ejercicio n°11'!$B$2:$J$68</definedName>
    <definedName name="_xlnm.Print_Area" localSheetId="3">'Planteamiento Ejercicio n°12'!$B$3:$J$77</definedName>
  </definedNames>
  <calcPr calcId="17102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6" l="1"/>
  <c r="K33" i="6"/>
  <c r="K27" i="6"/>
  <c r="H42" i="4"/>
  <c r="F82" i="6" s="1"/>
  <c r="H43" i="4"/>
  <c r="F26" i="4"/>
  <c r="F46" i="2"/>
  <c r="G39" i="1"/>
  <c r="G41" i="1"/>
  <c r="I41" i="1" s="1"/>
  <c r="E31" i="3" l="1"/>
  <c r="C31" i="3"/>
  <c r="C44" i="3" l="1"/>
  <c r="M22" i="1"/>
  <c r="M23" i="1" s="1"/>
  <c r="M10" i="5" l="1"/>
  <c r="N10" i="5" s="1"/>
  <c r="O10" i="5" s="1"/>
  <c r="D56" i="6" l="1"/>
  <c r="J93" i="6" l="1"/>
  <c r="M93" i="6" s="1"/>
  <c r="G59" i="4"/>
  <c r="G25" i="5"/>
  <c r="M16" i="5" l="1"/>
  <c r="P16" i="5" s="1"/>
  <c r="F12" i="5"/>
  <c r="G57" i="4" s="1"/>
  <c r="E88" i="6" l="1"/>
  <c r="L16" i="6"/>
  <c r="L17" i="6" s="1"/>
  <c r="L20" i="6" s="1"/>
  <c r="L27" i="6" s="1"/>
  <c r="J16" i="6"/>
  <c r="I16" i="6"/>
  <c r="H16" i="6"/>
  <c r="F25" i="4"/>
  <c r="L28" i="6" l="1"/>
  <c r="L29" i="6" s="1"/>
  <c r="C84" i="6" l="1"/>
  <c r="C83" i="6"/>
  <c r="C82" i="6"/>
  <c r="J94" i="6" l="1"/>
  <c r="I35" i="6"/>
  <c r="F35" i="6" s="1"/>
  <c r="D97" i="6"/>
  <c r="F83" i="6"/>
  <c r="L34" i="6" s="1"/>
  <c r="O14" i="5"/>
  <c r="G45" i="4"/>
  <c r="J98" i="6"/>
  <c r="Q98" i="6" s="1"/>
  <c r="E23" i="6"/>
  <c r="E48" i="6"/>
  <c r="K48" i="6" s="1"/>
  <c r="J17" i="6"/>
  <c r="J20" i="6" s="1"/>
  <c r="J27" i="6" s="1"/>
  <c r="I17" i="6"/>
  <c r="I20" i="6" s="1"/>
  <c r="I27" i="6" s="1"/>
  <c r="N15" i="6"/>
  <c r="M15" i="6"/>
  <c r="M15" i="5"/>
  <c r="P15" i="5" s="1"/>
  <c r="M14" i="5"/>
  <c r="N14" i="5" s="1"/>
  <c r="G14" i="5"/>
  <c r="F27" i="4"/>
  <c r="M16" i="6" l="1"/>
  <c r="M17" i="6" s="1"/>
  <c r="M20" i="6" s="1"/>
  <c r="N19" i="6"/>
  <c r="G19" i="6" s="1"/>
  <c r="F19" i="6" s="1"/>
  <c r="F22" i="4"/>
  <c r="M14" i="6" s="1"/>
  <c r="N16" i="6"/>
  <c r="N17" i="6" s="1"/>
  <c r="J92" i="6"/>
  <c r="N93" i="6"/>
  <c r="Q94" i="6"/>
  <c r="P14" i="5"/>
  <c r="P17" i="5" s="1"/>
  <c r="F17" i="5" s="1"/>
  <c r="G15" i="6"/>
  <c r="G16" i="6" s="1"/>
  <c r="F16" i="6" s="1"/>
  <c r="N20" i="6" l="1"/>
  <c r="R26" i="6"/>
  <c r="M24" i="6"/>
  <c r="R27" i="6" s="1"/>
  <c r="M27" i="6"/>
  <c r="O93" i="6"/>
  <c r="O94" i="6" s="1"/>
  <c r="D98" i="6" s="1"/>
  <c r="G62" i="4"/>
  <c r="J97" i="6" s="1"/>
  <c r="Q97" i="6" s="1"/>
  <c r="G20" i="5"/>
  <c r="G22" i="5" s="1"/>
  <c r="G24" i="5" s="1"/>
  <c r="K32" i="6" s="1"/>
  <c r="G17" i="6"/>
  <c r="G20" i="6" s="1"/>
  <c r="F15" i="6"/>
  <c r="J28" i="6"/>
  <c r="J29" i="6" s="1"/>
  <c r="I28" i="6"/>
  <c r="I29" i="6" s="1"/>
  <c r="I38" i="6" s="1"/>
  <c r="I42" i="6" s="1"/>
  <c r="G24" i="6" l="1"/>
  <c r="J96" i="6"/>
  <c r="K38" i="6"/>
  <c r="N24" i="6" l="1"/>
  <c r="N27" i="6" s="1"/>
  <c r="F24" i="6"/>
  <c r="E24" i="6" s="1"/>
  <c r="R24" i="6"/>
  <c r="G27" i="6"/>
  <c r="J38" i="6"/>
  <c r="L38" i="6"/>
  <c r="L42" i="6" s="1"/>
  <c r="Q96" i="6"/>
  <c r="Q99" i="6" s="1"/>
  <c r="J101" i="6"/>
  <c r="D93" i="6" s="1"/>
  <c r="I50" i="6"/>
  <c r="M28" i="6"/>
  <c r="M29" i="6" s="1"/>
  <c r="M38" i="6" s="1"/>
  <c r="M50" i="6" s="1"/>
  <c r="R25" i="6" l="1"/>
  <c r="R28" i="6"/>
  <c r="R29" i="6" s="1"/>
  <c r="G67" i="4"/>
  <c r="E71" i="6" l="1"/>
  <c r="G71" i="6"/>
  <c r="F71" i="6"/>
  <c r="F88" i="6"/>
  <c r="E25" i="6"/>
  <c r="H71" i="6" l="1"/>
  <c r="G28" i="6" l="1"/>
  <c r="N28" i="6" l="1"/>
  <c r="N29" i="6" s="1"/>
  <c r="N38" i="6" s="1"/>
  <c r="N50" i="6" s="1"/>
  <c r="G29" i="6"/>
  <c r="L32" i="2" l="1"/>
  <c r="M32" i="2" s="1"/>
  <c r="N32" i="2" s="1"/>
  <c r="G48" i="3"/>
  <c r="G47" i="3"/>
  <c r="E44" i="3"/>
  <c r="E32" i="2" s="1"/>
  <c r="F32" i="2" s="1"/>
  <c r="L18" i="3"/>
  <c r="L25" i="3" s="1"/>
  <c r="K18" i="3"/>
  <c r="K25" i="3" s="1"/>
  <c r="J18" i="3"/>
  <c r="J25" i="3" s="1"/>
  <c r="I18" i="3"/>
  <c r="I25" i="3" s="1"/>
  <c r="G17" i="3"/>
  <c r="F17" i="3" s="1"/>
  <c r="F13" i="3"/>
  <c r="E22" i="2"/>
  <c r="C22" i="2"/>
  <c r="L34" i="2"/>
  <c r="N34" i="2" s="1"/>
  <c r="L33" i="2"/>
  <c r="N33" i="2" s="1"/>
  <c r="E14" i="2"/>
  <c r="F17" i="2" s="1"/>
  <c r="D38" i="2" l="1"/>
  <c r="D39" i="2" s="1"/>
  <c r="F39" i="2" s="1"/>
  <c r="G49" i="3"/>
  <c r="H48" i="3" s="1"/>
  <c r="N35" i="2"/>
  <c r="E20" i="2" s="1"/>
  <c r="F22" i="2" s="1"/>
  <c r="F24" i="2" s="1"/>
  <c r="F27" i="2"/>
  <c r="H18" i="3"/>
  <c r="E30" i="3" l="1"/>
  <c r="E32" i="3" s="1"/>
  <c r="F30" i="3"/>
  <c r="H47" i="3"/>
  <c r="G55" i="1"/>
  <c r="L50" i="6"/>
  <c r="F29" i="2"/>
  <c r="F34" i="2" s="1"/>
  <c r="F36" i="2" s="1"/>
  <c r="F45" i="2" l="1"/>
  <c r="F41" i="2"/>
  <c r="F32" i="3"/>
  <c r="G15" i="3"/>
  <c r="F15" i="3" s="1"/>
  <c r="F18" i="3" s="1"/>
  <c r="G18" i="3" l="1"/>
  <c r="G22" i="3" l="1"/>
  <c r="G21" i="3"/>
  <c r="F21" i="3" s="1"/>
  <c r="E21" i="3" s="1"/>
  <c r="E36" i="3" s="1"/>
  <c r="E37" i="3" l="1"/>
  <c r="G25" i="3"/>
  <c r="F22" i="3"/>
  <c r="E22" i="3" s="1"/>
  <c r="F36" i="3" s="1"/>
  <c r="F37" i="3" s="1"/>
  <c r="F38" i="3" s="1"/>
  <c r="H25" i="3"/>
  <c r="G37" i="3" l="1"/>
  <c r="E38" i="3"/>
  <c r="G38" i="3" s="1"/>
  <c r="G36" i="3"/>
  <c r="F47" i="2"/>
  <c r="F49" i="2" s="1"/>
  <c r="E23" i="3"/>
  <c r="F25" i="3"/>
  <c r="H17" i="6"/>
  <c r="H20" i="6" s="1"/>
  <c r="H27" i="6" s="1"/>
  <c r="F17" i="6"/>
  <c r="F20" i="6" s="1"/>
  <c r="F27" i="6" s="1"/>
  <c r="H28" i="6" l="1"/>
  <c r="H29" i="6" l="1"/>
  <c r="F29" i="6" s="1"/>
  <c r="H38" i="6" l="1"/>
  <c r="H50" i="6" s="1"/>
  <c r="G88" i="6" l="1"/>
  <c r="I88" i="6" s="1"/>
  <c r="D95" i="6" s="1"/>
  <c r="D100" i="6" s="1"/>
  <c r="E41" i="6" l="1"/>
  <c r="I89" i="6"/>
  <c r="G36" i="6" l="1"/>
  <c r="Q100" i="6"/>
  <c r="F36" i="6" l="1"/>
  <c r="F38" i="6" s="1"/>
  <c r="G38" i="6"/>
  <c r="G42" i="6" s="1"/>
  <c r="K42" i="6" l="1"/>
  <c r="F42" i="6"/>
  <c r="E42" i="6" s="1"/>
  <c r="G72" i="6" s="1"/>
  <c r="C56" i="6" l="1"/>
  <c r="S42" i="6"/>
  <c r="S43" i="6" s="1"/>
  <c r="K45" i="6"/>
  <c r="E72" i="6"/>
  <c r="H72" i="6" s="1"/>
  <c r="F72" i="6"/>
  <c r="F50" i="6"/>
  <c r="E43" i="6"/>
  <c r="E59" i="6" s="1"/>
  <c r="G50" i="6"/>
  <c r="S44" i="6" l="1"/>
  <c r="S45" i="6" s="1"/>
  <c r="K50" i="6"/>
  <c r="J50" i="6" l="1"/>
  <c r="E56" i="6" s="1"/>
  <c r="E57" i="6" s="1"/>
  <c r="E60" i="6" s="1"/>
  <c r="E73" i="6" l="1"/>
  <c r="E64" i="6"/>
  <c r="G73" i="6"/>
  <c r="F73" i="6"/>
  <c r="E74" i="6" l="1"/>
  <c r="E65" i="6"/>
  <c r="E66" i="6" s="1"/>
  <c r="H73" i="6"/>
  <c r="G74" i="6"/>
  <c r="G76" i="6" s="1"/>
  <c r="F74" i="6"/>
  <c r="F76" i="6" s="1"/>
  <c r="G26" i="5"/>
  <c r="G28" i="5" s="1"/>
  <c r="E76" i="6"/>
  <c r="H76" i="6" l="1"/>
  <c r="H74" i="6"/>
</calcChain>
</file>

<file path=xl/sharedStrings.xml><?xml version="1.0" encoding="utf-8"?>
<sst xmlns="http://schemas.openxmlformats.org/spreadsheetml/2006/main" count="329" uniqueCount="237">
  <si>
    <t>1.-</t>
  </si>
  <si>
    <t>2.-</t>
  </si>
  <si>
    <t>3.-</t>
  </si>
  <si>
    <t>4.-</t>
  </si>
  <si>
    <t>5.-</t>
  </si>
  <si>
    <t>6.-</t>
  </si>
  <si>
    <t>Datos para la confección de la RLI:</t>
  </si>
  <si>
    <t>a)</t>
  </si>
  <si>
    <t>b)</t>
  </si>
  <si>
    <t>Correción Monetaria existencias</t>
  </si>
  <si>
    <t>Provisión Vacaciones</t>
  </si>
  <si>
    <t>Multas Fiscales (Actualizadas)</t>
  </si>
  <si>
    <t>c)</t>
  </si>
  <si>
    <t>Corrección Monetaria Capital Propio Tributario</t>
  </si>
  <si>
    <t>Dividendos percibidos (39 n°1 LIR)</t>
  </si>
  <si>
    <r>
      <rPr>
        <b/>
        <u/>
        <sz val="10"/>
        <rFont val="Arial"/>
        <family val="2"/>
      </rPr>
      <t>Supuestos</t>
    </r>
    <r>
      <rPr>
        <b/>
        <sz val="10"/>
        <rFont val="Arial"/>
        <family val="2"/>
      </rPr>
      <t xml:space="preserve">: </t>
    </r>
  </si>
  <si>
    <t xml:space="preserve">Se Pide: </t>
  </si>
  <si>
    <t>A</t>
  </si>
  <si>
    <t>B</t>
  </si>
  <si>
    <t>Confeccionar RAP, DDAN, REX, SAC con sus imputaciones corresponientes</t>
  </si>
  <si>
    <t>C</t>
  </si>
  <si>
    <t>A)</t>
  </si>
  <si>
    <t>Capital</t>
  </si>
  <si>
    <t>%</t>
  </si>
  <si>
    <t>C.M.</t>
  </si>
  <si>
    <r>
      <t>Dividendos percibidos</t>
    </r>
    <r>
      <rPr>
        <b/>
        <sz val="10"/>
        <rFont val="Arial"/>
        <family val="2"/>
      </rPr>
      <t xml:space="preserve"> (39 n°1 LIR)</t>
    </r>
  </si>
  <si>
    <r>
      <t xml:space="preserve">Dividendos percibidos </t>
    </r>
    <r>
      <rPr>
        <b/>
        <sz val="10"/>
        <rFont val="Arial"/>
        <family val="2"/>
      </rPr>
      <t>(33 n°5 LIR)</t>
    </r>
  </si>
  <si>
    <t>IDPC</t>
  </si>
  <si>
    <t>Determinación IDPC</t>
  </si>
  <si>
    <t>IDPC a Pagar</t>
  </si>
  <si>
    <t>IU Gastos Rechazados</t>
  </si>
  <si>
    <t>Total a Pagar</t>
  </si>
  <si>
    <t>B) Registros RAP; DDAN; REX; SAC</t>
  </si>
  <si>
    <t>Detalle</t>
  </si>
  <si>
    <t>Control</t>
  </si>
  <si>
    <t>RAP</t>
  </si>
  <si>
    <t>DDAN</t>
  </si>
  <si>
    <t>REX</t>
  </si>
  <si>
    <t>SAC</t>
  </si>
  <si>
    <t>STUT</t>
  </si>
  <si>
    <t>Hasta el 31.12.2016</t>
  </si>
  <si>
    <t>Remanente Ejercicio anterior</t>
  </si>
  <si>
    <t>Más:</t>
  </si>
  <si>
    <t>Menos:</t>
  </si>
  <si>
    <t>Remanente ejercicio Siguiente</t>
  </si>
  <si>
    <t>C) Tributación de los Socios</t>
  </si>
  <si>
    <t>Socio n°1</t>
  </si>
  <si>
    <t>Socio n°2</t>
  </si>
  <si>
    <t>Renta Atribuida</t>
  </si>
  <si>
    <t>Monto sujeto a IGC</t>
  </si>
  <si>
    <t>Datos Complementarios para el Ejercicio:</t>
  </si>
  <si>
    <t>Dividendo Percibido en Diciembre</t>
  </si>
  <si>
    <t>Crédito</t>
  </si>
  <si>
    <t>Retiros</t>
  </si>
  <si>
    <t>IPC</t>
  </si>
  <si>
    <t>Retiros CM</t>
  </si>
  <si>
    <t>Utilidad según balance al 31.12.2018</t>
  </si>
  <si>
    <t>Renta Líquida Imponible al 31.12.2018</t>
  </si>
  <si>
    <t>Renta Líquida Imponible 31.12.2018</t>
  </si>
  <si>
    <t>Remanente depurado al 31.12.2018</t>
  </si>
  <si>
    <t>Agregados a la RLI:</t>
  </si>
  <si>
    <t>Deducción o Desagregados a la RLI:</t>
  </si>
  <si>
    <t>Factor de Incremento 27%</t>
  </si>
  <si>
    <t>Crédito (IDPC Voluntario)</t>
  </si>
  <si>
    <t>7.-</t>
  </si>
  <si>
    <t xml:space="preserve">Menos: </t>
  </si>
  <si>
    <t>Detalle IDPC Voluntario</t>
  </si>
  <si>
    <t>$</t>
  </si>
  <si>
    <t>Base Imponible antes de ajuste art 33 n°5 LIR</t>
  </si>
  <si>
    <t>Liquidación Impuesto a pagar</t>
  </si>
  <si>
    <t>Confeccionar RLI al 31.12.2018 incorporando IDPC voluntario optado y recibido; imputacion 33 n°5 LIR y determinar IDPC e IU (Gastos Rechazados)</t>
  </si>
  <si>
    <t>Renta Líquida Imponible al 31.12.2018 antes de deducción IDPC Voluntario</t>
  </si>
  <si>
    <t>CRÉDITOS</t>
  </si>
  <si>
    <t>(*) TEF</t>
  </si>
  <si>
    <t>(*) Explicación TEF</t>
  </si>
  <si>
    <t>TEF</t>
  </si>
  <si>
    <t>d)</t>
  </si>
  <si>
    <t>Capital propio tributario al 01.01.2018(*)</t>
  </si>
  <si>
    <t>Base Imponible</t>
  </si>
  <si>
    <t>Total a pagar</t>
  </si>
  <si>
    <t>RAI</t>
  </si>
  <si>
    <t>Créditos Generados hasta el 31.12.2016</t>
  </si>
  <si>
    <t>Con restitución</t>
  </si>
  <si>
    <t>Remanente Reajustado</t>
  </si>
  <si>
    <t>Distribuciones del Ejercicio</t>
  </si>
  <si>
    <t>Distribuciones imputados</t>
  </si>
  <si>
    <t>Dividendos Provisorios</t>
  </si>
  <si>
    <t>Rentas Afectas del Ejercicio</t>
  </si>
  <si>
    <t>Distribuciones no imputadas / Actualizado a Diciembre</t>
  </si>
  <si>
    <t>Accionistas n°1</t>
  </si>
  <si>
    <t>Accionistas n°2</t>
  </si>
  <si>
    <t>Participación</t>
  </si>
  <si>
    <t>Base sujeto a IGC</t>
  </si>
  <si>
    <t>Distribuciones</t>
  </si>
  <si>
    <t>Imputados</t>
  </si>
  <si>
    <t>Por imputar</t>
  </si>
  <si>
    <t>Distribuciones actualizadas</t>
  </si>
  <si>
    <t>Detreminación RAI</t>
  </si>
  <si>
    <t>Monto</t>
  </si>
  <si>
    <r>
      <t xml:space="preserve">CPT al término del ejercicio </t>
    </r>
    <r>
      <rPr>
        <b/>
        <sz val="10"/>
        <rFont val="Arial"/>
        <family val="2"/>
      </rPr>
      <t>(*)</t>
    </r>
  </si>
  <si>
    <t>+</t>
  </si>
  <si>
    <t>Capital Inicial Aportado</t>
  </si>
  <si>
    <t>Retiros, Remesas, o distribuciones no imputadas a los registros RAI, DDAN, REX del ejercicio anterior (Provisorios)</t>
  </si>
  <si>
    <t>Dividendos percibidos en el ejercicio</t>
  </si>
  <si>
    <t>Distribuciones del ejercicio</t>
  </si>
  <si>
    <t>Base Imponible (RLI / PT)</t>
  </si>
  <si>
    <t>(-)</t>
  </si>
  <si>
    <t>C.M. Patrimonio Tributario</t>
  </si>
  <si>
    <t>Capital aportado más aumento y disminuciones reajustado</t>
  </si>
  <si>
    <t>Multas</t>
  </si>
  <si>
    <t>(*)</t>
  </si>
  <si>
    <t>CPT al Término del Ejercicio</t>
  </si>
  <si>
    <t>RAI (positivo)</t>
  </si>
  <si>
    <t>(=)</t>
  </si>
  <si>
    <r>
      <t>Agregados a la RLI</t>
    </r>
    <r>
      <rPr>
        <b/>
        <sz val="11"/>
        <rFont val="Calibri"/>
        <family val="2"/>
        <scheme val="minor"/>
      </rPr>
      <t>:</t>
    </r>
  </si>
  <si>
    <r>
      <t>Deducción o Desagregados a la RLI</t>
    </r>
    <r>
      <rPr>
        <b/>
        <sz val="11"/>
        <rFont val="Calibri"/>
        <family val="2"/>
        <scheme val="minor"/>
      </rPr>
      <t>:</t>
    </r>
  </si>
  <si>
    <r>
      <t>Agregados en la RLI</t>
    </r>
    <r>
      <rPr>
        <b/>
        <sz val="11"/>
        <rFont val="Calibri"/>
        <family val="2"/>
        <scheme val="minor"/>
      </rPr>
      <t>:</t>
    </r>
  </si>
  <si>
    <r>
      <t>Deducción en la RLI</t>
    </r>
    <r>
      <rPr>
        <b/>
        <sz val="11"/>
        <rFont val="Calibri"/>
        <family val="2"/>
        <scheme val="minor"/>
      </rPr>
      <t>:</t>
    </r>
  </si>
  <si>
    <t>Dividendos percibidos con créditos del 25,5% (Con restitución)</t>
  </si>
  <si>
    <t>Dividendos percibidos con créditos del 27% (IDPC Voluntario)</t>
  </si>
  <si>
    <t>Dividendos percibidos provenientes del Registro REX</t>
  </si>
  <si>
    <t>Total dividendos percibidos</t>
  </si>
  <si>
    <t>Determinación IDPC en carácter de voluntario (1.250.000 x 1,333333)</t>
  </si>
  <si>
    <t>Supuestos: IPC 2018 igual a IPC 2016</t>
  </si>
  <si>
    <t>Confeccionar RLI al 31.12.2018 y determinar IDPC e IU (Gastos Rechazados)</t>
  </si>
  <si>
    <t>Determinación del Saldo Total de Créditos (STC) y Saldos Total de Utilidades Tributarias (STUT) para el año 2018</t>
  </si>
  <si>
    <t>Actividades realizadas en el año comercial 2018</t>
  </si>
  <si>
    <t>Retiro de utilidades AT 2018</t>
  </si>
  <si>
    <t>Reajuste Octubre 2018</t>
  </si>
  <si>
    <t>Remanente Actualizado a Octubre 2018</t>
  </si>
  <si>
    <t>Distribuciones Octubre 2018</t>
  </si>
  <si>
    <t>Remanente a Diciembre 2018</t>
  </si>
  <si>
    <t>Reajuste Diciembre 2018</t>
  </si>
  <si>
    <t>Remanente Actualizado a Diciembre 2018</t>
  </si>
  <si>
    <t>Distribuciones Imputados a RAI (Antes 31.12.2018)</t>
  </si>
  <si>
    <t>Distribuciones Imputados a RAI (Despúes 31.12.2018)</t>
  </si>
  <si>
    <t>Dividendos Octubre 2018</t>
  </si>
  <si>
    <t>Dividendo Percibido</t>
  </si>
  <si>
    <t>Factor de Incremento</t>
  </si>
  <si>
    <t>IDPC AT 2018 actualizado de abr- oct ($480.000 x 1,5%)</t>
  </si>
  <si>
    <t>Dividendos Imputados</t>
  </si>
  <si>
    <t>Dividendo</t>
  </si>
  <si>
    <t>Dividendos Octubre 2018 $12.500.000</t>
  </si>
  <si>
    <t>IDPC pagado Voluntariamente</t>
  </si>
  <si>
    <t xml:space="preserve">Remanente ejercicio anterior </t>
  </si>
  <si>
    <t>tasa</t>
  </si>
  <si>
    <t>Confeccionar RAI, FUF, REX, SAC con sus imputaciones corresponientes e IDPC voluntario</t>
  </si>
  <si>
    <t>Tributación de los Accionistas</t>
  </si>
  <si>
    <t>C) IDPC Voluntario</t>
  </si>
  <si>
    <r>
      <t xml:space="preserve">Incremento con tasa 27% IDPC voluntario </t>
    </r>
    <r>
      <rPr>
        <b/>
        <sz val="10"/>
        <rFont val="Arial"/>
        <family val="2"/>
      </rPr>
      <t>(33 n°5 LIR)</t>
    </r>
  </si>
  <si>
    <t>IDPC en carácter de voluntario</t>
  </si>
  <si>
    <t>Los accionistas enteraron y pagaron un Capital Inicial de $ 200.000.000 con una participación del 15% (Accionista n°1); 50% (Accionista n°2) y 35% (Accionista n°3).</t>
  </si>
  <si>
    <t>La Sociedad durante el transcurso del año, adquiere participación de "FIFA SpA" acogida al régimen "14 B LIR Parcialmente Integrado", Por un monto de $35.000.000 (monto actualizado al cierre del 31.12.2018)</t>
  </si>
  <si>
    <t xml:space="preserve">La Sociedad "FIFA SpA" distribuyó durante el año 2018, dividendos a la sociedad "Confederaciones S.A." por un monto total de $1.850.000, segun el siguiente detalle: </t>
  </si>
  <si>
    <t>Los accionistas de "Confederaciones S.A." deciden efectuar distribución de dividendo durante el año, según se detalla a continuación:</t>
  </si>
  <si>
    <t>pago IDPC</t>
  </si>
  <si>
    <t>Distribución</t>
  </si>
  <si>
    <t xml:space="preserve">Saldo Positivo del REX </t>
  </si>
  <si>
    <t>FUT Ejercicio anterior (actualizado)</t>
  </si>
  <si>
    <t>Sin Restitución</t>
  </si>
  <si>
    <t>Créditos consumidos por utilidades financieras</t>
  </si>
  <si>
    <t>Total</t>
  </si>
  <si>
    <t>Imputación a Utilidades Financieras con Crédito</t>
  </si>
  <si>
    <t>Imputación a Utilidades Financieras con Crédito Voluntario</t>
  </si>
  <si>
    <t>B.1 Registros RAI; DDAN; REX; SAC</t>
  </si>
  <si>
    <t>B.2 Dividendos imputados a Utilidades Financieras con derecho a crédito</t>
  </si>
  <si>
    <t xml:space="preserve">Diferencia Dividendos provisorios </t>
  </si>
  <si>
    <t>Dividendos provisorios del ejercicio</t>
  </si>
  <si>
    <t>Accionistas n°3</t>
  </si>
  <si>
    <r>
      <t>Deducción a la RLI</t>
    </r>
    <r>
      <rPr>
        <b/>
        <sz val="11"/>
        <rFont val="Calibri"/>
        <family val="2"/>
        <scheme val="minor"/>
      </rPr>
      <t>:</t>
    </r>
  </si>
  <si>
    <t>Provisiones varias (estimadas)</t>
  </si>
  <si>
    <t>Socio 1: Retira $6.000.000 en Julio</t>
  </si>
  <si>
    <t>Socio 2: Retira $5.000.000 en Octubre</t>
  </si>
  <si>
    <t>La Sociedad adquiere mercaderias importadas de Inglaterra " Arsenal FC" por un monto de $13.000.000, durante el año 2018</t>
  </si>
  <si>
    <t>Los socios personas naturales aportaron un Capital Inicial de $ 30.000.000, con una participación del 65% y 35% cada uno respectivamente.</t>
  </si>
  <si>
    <t>La Sociedad durante el transcurso del año, adquiere participación de "Arsène Wenger" acogida al régimen "14 B LIR Parcialmente Integrado", Por un monto de $6.000.000 (monto actualizado al cierre del 31.12.2018)</t>
  </si>
  <si>
    <t>Arriendo de Automóvil Socio N°1 (Actualizados)</t>
  </si>
  <si>
    <t>Retiros de los socios</t>
  </si>
  <si>
    <t>Retiros provisorios</t>
  </si>
  <si>
    <t xml:space="preserve">Retiro Efectivo Socio n°1 </t>
  </si>
  <si>
    <t xml:space="preserve">Retiro Efectivo Socio n°2 </t>
  </si>
  <si>
    <t>Datos complementarios para el ejercicio:</t>
  </si>
  <si>
    <t>Opción de acogerse al IDPC en carácter de voluntario</t>
  </si>
  <si>
    <t>IDPC en carácter de Voluntario (Factor Incremento)</t>
  </si>
  <si>
    <t>Impuesto voluntario a pagar</t>
  </si>
  <si>
    <t>Tope 25% Régimen Atribuido</t>
  </si>
  <si>
    <t>Recargo 10% art. 21 iniso 3</t>
  </si>
  <si>
    <t>Julio</t>
  </si>
  <si>
    <t>Octubre</t>
  </si>
  <si>
    <t>SAC del 01.01.2018</t>
  </si>
  <si>
    <t>A contar de 2018</t>
  </si>
  <si>
    <t>Deducción por pago voluntario IDPC actualizado / con tope de RLI (AT 2018)</t>
  </si>
  <si>
    <t>IDPC en carácter de voluntario AT 2019</t>
  </si>
  <si>
    <t>IPC 2018 igual a IPC 2016; para la confeccion e imputaciones a los registros RAP, DDAN, REX,SAC. Respectivamente</t>
  </si>
  <si>
    <r>
      <t xml:space="preserve">La Sociedad Anónima "Confederaciones", fue constituida en </t>
    </r>
    <r>
      <rPr>
        <b/>
        <u/>
        <sz val="10"/>
        <rFont val="Arial"/>
        <family val="2"/>
      </rPr>
      <t>"Enero del 2017"</t>
    </r>
    <r>
      <rPr>
        <sz val="10"/>
        <rFont val="Arial"/>
        <family val="2"/>
      </rPr>
      <t xml:space="preserve"> y se acogió al Régimen de Renta Parcialmente Integrada del Art. "14 B de la  LIR". Formada por tres accionistas, uno es persona natural y los otros dos restantes, son personas jurídicas. El giro comercial de la sociedad es la comercialización de arcos profesionales de aluminios. Según lo antes descrito, la sociedad registra los siguientes antecedentes:</t>
    </r>
  </si>
  <si>
    <t>Informar acerca de la tributación de sus propietarios</t>
  </si>
  <si>
    <t>Ejercicio N° 11: Sociedad acogida al 14 A, que percibe dividendos con crédito de IDPC Voluntario, adicionalmente ejerce la opción de pagar IDPC voluntario por los retiros del año</t>
  </si>
  <si>
    <r>
      <t xml:space="preserve">La Sociedad de Responsabilidad Limitada "SÁNCHEZ", fue constituida en </t>
    </r>
    <r>
      <rPr>
        <b/>
        <u/>
        <sz val="10"/>
        <rFont val="Arial"/>
        <family val="2"/>
      </rPr>
      <t>"Enero del 2017"</t>
    </r>
    <r>
      <rPr>
        <sz val="10"/>
        <rFont val="Arial"/>
        <family val="2"/>
      </rPr>
      <t xml:space="preserve"> y se acogió al Régimen de Renta Atribuida "14 A LIR", formada por dos socios personas naturales y su giro comercial es de comercialización de productos deportivos. Según lo antes descrito, la sociedad registra los siguientes antecedentes:</t>
    </r>
  </si>
  <si>
    <t>Los socios de "SÁNCHEZ Ltda." deciden efectuar retiro de utilidades por $11.000.000 durante el año, según se detalla:</t>
  </si>
  <si>
    <t>En el mes de diciembre de 2018, la Sociedad "Arsène Wenger SpA" distribuye dividendos a "SÁNCHEZ Ltda." por un monto de $2.900.000, dividendo que quedó en calidad de provisorio. Finalmente al cierre del ejercicio, este dividendo fue informado con un crédito del 27%. (Con D° a Devolución y Sin Restitución, ya que es un IDPC Voluntario de una sociedad 14 B)</t>
  </si>
  <si>
    <t xml:space="preserve">Durante el año 2017, la sociedad soportó retiros que se acogieron a crédito voluntario del IDPC por $1.250.000 (act), esto a raíz que durante el año la determinación de la Renta Líquida Imponible fue declarada con un resultado tributario de "$0", no teniendo registros ni créditos para imputar el retiro efectuado. A continuación se detalla el IDPC voluntario: </t>
  </si>
  <si>
    <t>Crédito Voluntario</t>
  </si>
  <si>
    <t xml:space="preserve">Base de Crédito (Voluntario) de una sociedad régimen 14 B </t>
  </si>
  <si>
    <t>STUT Bruto</t>
  </si>
  <si>
    <t>Saldo Total de Créditos</t>
  </si>
  <si>
    <t>Saldo Total de Utilidades Tributables (Netas)</t>
  </si>
  <si>
    <t>La Sociedad importa mercaderías desde USA por un monto de $85.000.000, durante el año 2018</t>
  </si>
  <si>
    <t>Dividendos percibidos N°1 (Con restitución)</t>
  </si>
  <si>
    <t>Ejercicio N° 12: Sociedad acogida al 14 B (FUT de Arrastre), percibe dividendos y opta por IDPC en carácter de voluntario</t>
  </si>
  <si>
    <t>Retiro</t>
  </si>
  <si>
    <t>Crédito TEF</t>
  </si>
  <si>
    <t>Disponible</t>
  </si>
  <si>
    <t>Retiro con Crédito</t>
  </si>
  <si>
    <t>podría créd. Voluntario</t>
  </si>
  <si>
    <t>Crédito Voluntario potencial</t>
  </si>
  <si>
    <t>Crédito IDPC Según RLI</t>
  </si>
  <si>
    <t>Sin Devolución Percibido</t>
  </si>
  <si>
    <t>Crédito IDPC dividendo percibido N°1</t>
  </si>
  <si>
    <t xml:space="preserve">Con Devolución 
</t>
  </si>
  <si>
    <t>Dividendo N°1 percibido con créditos con restitución</t>
  </si>
  <si>
    <t>Dividendo N°2 percibido con créditos del 27% (IDPC Voluntario)</t>
  </si>
  <si>
    <t>Dividendo N°3 percibido provenientes del Registro REX</t>
  </si>
  <si>
    <t>Crédito IDPC dividendos percibidos N°2 Crédito Voluntario</t>
  </si>
  <si>
    <t>Factor AT 2019</t>
  </si>
  <si>
    <t>Dividendo N°3 percibido (350.000 REX)</t>
  </si>
  <si>
    <t>Dividendos no Imputados al CRE</t>
  </si>
  <si>
    <t>Saldo de créditos después de Imputación</t>
  </si>
  <si>
    <t>Dividendo con crédito</t>
  </si>
  <si>
    <t>Dividendo sin crédito de SAC</t>
  </si>
  <si>
    <t>Crédito Voluntario Potencial</t>
  </si>
  <si>
    <t xml:space="preserve">Base Imponible IDPC Carácter de Voluntario </t>
  </si>
  <si>
    <t>xxxx</t>
  </si>
  <si>
    <t>Factor</t>
  </si>
  <si>
    <t>Base Util. financieras</t>
  </si>
  <si>
    <t>BEST BUSINESS SOLUTIONS CONSULTING SPA</t>
  </si>
  <si>
    <t>Profesora Claudia Valdés Muñoz cvaldes@bbsc.cl www.bbsc.cl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</si>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</sst>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_-* #,##0_-;\-* #,##0_-;_-* &quot;-&quot;??_-;_-@_-"/>
    <numFmt numFmtId="166" formatCode="#,##0.00;[Red]\(#,##0\)"/>
    <numFmt numFmtId="167" formatCode="#,##0.000000"/>
    <numFmt numFmtId="168" formatCode="&quot;$&quot;\ #,##0"/>
    <numFmt numFmtId="169" formatCode="#,##0;[Red]\(#,##0\)"/>
    <numFmt numFmtId="170" formatCode="0.000000"/>
    <numFmt numFmtId="171" formatCode="0.0%"/>
    <numFmt numFmtId="172" formatCode="#,##0;\(#,##0\)"/>
    <numFmt numFmtId="173" formatCode="#,##0;\(#,##0\9"/>
    <numFmt numFmtId="174" formatCode="#,##0.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b/>
      <sz val="10"/>
      <color theme="0"/>
      <name val="Arial"/>
      <family val="2"/>
    </font>
    <font>
      <sz val="11"/>
      <name val="Calibri"/>
      <family val="2"/>
      <scheme val="minor"/>
    </font>
    <font>
      <b/>
      <sz val="11"/>
      <name val="Calibri"/>
      <family val="2"/>
      <scheme val="minor"/>
    </font>
    <font>
      <sz val="14"/>
      <name val="Arial"/>
      <family val="2"/>
    </font>
    <font>
      <b/>
      <i/>
      <u/>
      <sz val="10"/>
      <name val="Arial"/>
      <family val="2"/>
    </font>
    <font>
      <b/>
      <sz val="12"/>
      <name val="Arial"/>
      <family val="2"/>
    </font>
    <font>
      <sz val="10"/>
      <color theme="0"/>
      <name val="Arial"/>
      <family val="2"/>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cellStyleXfs>
  <cellXfs count="395">
    <xf numFmtId="0" fontId="0" fillId="0" borderId="0" xfId="0"/>
    <xf numFmtId="0" fontId="3" fillId="0" borderId="2" xfId="3" applyFont="1" applyBorder="1"/>
    <xf numFmtId="165" fontId="2" fillId="0" borderId="0" xfId="1" applyNumberFormat="1" applyFont="1"/>
    <xf numFmtId="165" fontId="2" fillId="0" borderId="0" xfId="1" applyNumberFormat="1" applyFont="1" applyAlignment="1">
      <alignment horizontal="center"/>
    </xf>
    <xf numFmtId="0" fontId="3" fillId="0" borderId="0" xfId="3" applyFont="1" applyBorder="1"/>
    <xf numFmtId="0" fontId="4" fillId="0" borderId="0" xfId="3" applyFont="1" applyBorder="1"/>
    <xf numFmtId="0" fontId="3" fillId="0" borderId="0" xfId="3" applyFont="1" applyBorder="1" applyAlignment="1">
      <alignment horizontal="center"/>
    </xf>
    <xf numFmtId="0" fontId="2" fillId="0" borderId="0" xfId="3" applyFont="1" applyBorder="1"/>
    <xf numFmtId="0" fontId="3" fillId="0" borderId="0" xfId="3" applyFont="1" applyBorder="1" applyAlignment="1">
      <alignment horizontal="left"/>
    </xf>
    <xf numFmtId="0" fontId="2" fillId="0" borderId="0" xfId="3" applyFont="1" applyBorder="1" applyAlignment="1">
      <alignment horizontal="left"/>
    </xf>
    <xf numFmtId="3" fontId="3" fillId="0" borderId="0" xfId="3" applyNumberFormat="1" applyFont="1" applyBorder="1"/>
    <xf numFmtId="0" fontId="3" fillId="0" borderId="7" xfId="3" applyFont="1" applyBorder="1" applyAlignment="1">
      <alignment horizontal="center"/>
    </xf>
    <xf numFmtId="0" fontId="2" fillId="0" borderId="0" xfId="3" applyFont="1" applyAlignment="1">
      <alignment horizontal="left" vertical="top" wrapText="1"/>
    </xf>
    <xf numFmtId="0" fontId="3" fillId="0" borderId="0" xfId="3" applyFont="1" applyAlignment="1">
      <alignment horizontal="justify" vertical="top" wrapText="1"/>
    </xf>
    <xf numFmtId="0" fontId="3" fillId="0" borderId="4" xfId="3" applyFont="1" applyBorder="1" applyAlignment="1">
      <alignment horizontal="center"/>
    </xf>
    <xf numFmtId="3" fontId="2" fillId="0" borderId="0" xfId="3" applyNumberFormat="1" applyFont="1" applyBorder="1"/>
    <xf numFmtId="0" fontId="2" fillId="0" borderId="5" xfId="3" applyFont="1" applyBorder="1"/>
    <xf numFmtId="0" fontId="2" fillId="0" borderId="5" xfId="3" applyFont="1" applyBorder="1" applyAlignment="1">
      <alignment horizontal="justify" vertical="justify" wrapText="1"/>
    </xf>
    <xf numFmtId="0" fontId="2" fillId="0" borderId="0" xfId="0" applyFont="1"/>
    <xf numFmtId="166" fontId="2" fillId="0" borderId="0" xfId="3" applyNumberFormat="1" applyFont="1" applyBorder="1"/>
    <xf numFmtId="0" fontId="3" fillId="0" borderId="9" xfId="3" applyFont="1" applyBorder="1" applyAlignment="1">
      <alignment horizontal="left"/>
    </xf>
    <xf numFmtId="0" fontId="3" fillId="0" borderId="9" xfId="3" applyFont="1" applyBorder="1"/>
    <xf numFmtId="3" fontId="3" fillId="0" borderId="9" xfId="3" applyNumberFormat="1" applyFont="1" applyBorder="1"/>
    <xf numFmtId="10" fontId="3" fillId="0" borderId="0" xfId="3" applyNumberFormat="1" applyFont="1" applyBorder="1"/>
    <xf numFmtId="9" fontId="3" fillId="0" borderId="0" xfId="3" applyNumberFormat="1" applyFont="1" applyBorder="1"/>
    <xf numFmtId="0" fontId="3" fillId="0" borderId="6" xfId="3" applyFont="1" applyBorder="1" applyAlignment="1">
      <alignment horizontal="center"/>
    </xf>
    <xf numFmtId="0" fontId="3" fillId="0" borderId="10" xfId="3" applyFont="1" applyBorder="1" applyAlignment="1">
      <alignment horizontal="left"/>
    </xf>
    <xf numFmtId="0" fontId="3" fillId="0" borderId="10" xfId="3" applyFont="1" applyBorder="1"/>
    <xf numFmtId="3" fontId="3" fillId="0" borderId="10" xfId="3" applyNumberFormat="1" applyFont="1" applyBorder="1"/>
    <xf numFmtId="0" fontId="2" fillId="0" borderId="8" xfId="3" applyFont="1" applyBorder="1"/>
    <xf numFmtId="0" fontId="2" fillId="0" borderId="0" xfId="3" applyFont="1" applyBorder="1" applyAlignment="1">
      <alignment horizontal="justify" vertical="justify" wrapText="1"/>
    </xf>
    <xf numFmtId="0" fontId="3" fillId="0" borderId="0" xfId="3" applyFont="1" applyAlignment="1">
      <alignment horizontal="center"/>
    </xf>
    <xf numFmtId="0" fontId="2" fillId="0" borderId="0" xfId="3" applyFont="1"/>
    <xf numFmtId="0" fontId="3" fillId="0" borderId="12" xfId="3" applyFont="1" applyBorder="1" applyAlignment="1">
      <alignment horizontal="center"/>
    </xf>
    <xf numFmtId="0" fontId="2" fillId="0" borderId="4" xfId="3" applyFont="1" applyBorder="1" applyAlignment="1">
      <alignment horizontal="center"/>
    </xf>
    <xf numFmtId="0" fontId="3" fillId="0" borderId="16" xfId="3" applyFont="1" applyBorder="1" applyAlignment="1">
      <alignment horizontal="center"/>
    </xf>
    <xf numFmtId="0" fontId="3" fillId="0" borderId="14" xfId="3" applyFont="1" applyBorder="1" applyAlignment="1">
      <alignment horizontal="center" wrapText="1"/>
    </xf>
    <xf numFmtId="0" fontId="2" fillId="0" borderId="4" xfId="3" applyFont="1" applyBorder="1" applyAlignment="1">
      <alignment horizontal="center" vertical="justify" wrapText="1"/>
    </xf>
    <xf numFmtId="0" fontId="3" fillId="0" borderId="17" xfId="3" applyFont="1" applyBorder="1" applyAlignment="1">
      <alignment horizontal="left"/>
    </xf>
    <xf numFmtId="0" fontId="3" fillId="0" borderId="13" xfId="3" applyFont="1" applyBorder="1" applyAlignment="1">
      <alignment horizontal="left"/>
    </xf>
    <xf numFmtId="169" fontId="3" fillId="0" borderId="13" xfId="3" applyNumberFormat="1" applyFont="1" applyBorder="1"/>
    <xf numFmtId="169" fontId="3" fillId="0" borderId="9" xfId="3" applyNumberFormat="1" applyFont="1" applyBorder="1"/>
    <xf numFmtId="169" fontId="3" fillId="0" borderId="14" xfId="3" applyNumberFormat="1" applyFont="1" applyBorder="1"/>
    <xf numFmtId="0" fontId="3" fillId="0" borderId="15" xfId="3" applyFont="1" applyBorder="1" applyAlignment="1">
      <alignment horizontal="left"/>
    </xf>
    <xf numFmtId="0" fontId="3" fillId="0" borderId="16" xfId="3" applyFont="1" applyBorder="1" applyAlignment="1">
      <alignment horizontal="left"/>
    </xf>
    <xf numFmtId="169" fontId="2" fillId="0" borderId="16" xfId="3" applyNumberFormat="1" applyFont="1" applyBorder="1" applyAlignment="1">
      <alignment horizontal="center"/>
    </xf>
    <xf numFmtId="169" fontId="2" fillId="0" borderId="18" xfId="3" applyNumberFormat="1" applyFont="1" applyBorder="1" applyAlignment="1">
      <alignment horizontal="center"/>
    </xf>
    <xf numFmtId="169" fontId="2" fillId="0" borderId="18" xfId="3" applyNumberFormat="1" applyFont="1" applyBorder="1"/>
    <xf numFmtId="169" fontId="2" fillId="0" borderId="5" xfId="3" applyNumberFormat="1" applyFont="1" applyBorder="1"/>
    <xf numFmtId="0" fontId="2" fillId="0" borderId="15" xfId="3" applyFont="1" applyBorder="1" applyAlignment="1">
      <alignment horizontal="left"/>
    </xf>
    <xf numFmtId="0" fontId="2" fillId="0" borderId="16" xfId="3" applyFont="1" applyBorder="1" applyAlignment="1">
      <alignment horizontal="left"/>
    </xf>
    <xf numFmtId="169" fontId="2" fillId="0" borderId="16" xfId="3" applyNumberFormat="1" applyFont="1" applyBorder="1"/>
    <xf numFmtId="169" fontId="2" fillId="0" borderId="0" xfId="3" applyNumberFormat="1" applyFont="1" applyBorder="1"/>
    <xf numFmtId="0" fontId="2" fillId="0" borderId="15" xfId="3" applyFont="1" applyBorder="1"/>
    <xf numFmtId="0" fontId="2" fillId="0" borderId="16" xfId="3" applyFont="1" applyBorder="1"/>
    <xf numFmtId="169" fontId="2" fillId="0" borderId="19" xfId="3" applyNumberFormat="1" applyFont="1" applyBorder="1"/>
    <xf numFmtId="169" fontId="2" fillId="0" borderId="20" xfId="3" applyNumberFormat="1" applyFont="1" applyBorder="1"/>
    <xf numFmtId="0" fontId="2" fillId="0" borderId="0" xfId="3" applyFont="1" applyBorder="1" applyAlignment="1">
      <alignment horizontal="center"/>
    </xf>
    <xf numFmtId="0" fontId="3" fillId="0" borderId="17" xfId="3" applyFont="1" applyBorder="1" applyAlignment="1">
      <alignment horizontal="center"/>
    </xf>
    <xf numFmtId="169" fontId="2" fillId="0" borderId="19" xfId="3" applyNumberFormat="1" applyFont="1" applyBorder="1" applyAlignment="1">
      <alignment horizontal="center"/>
    </xf>
    <xf numFmtId="0" fontId="2" fillId="0" borderId="9" xfId="3" applyFont="1" applyBorder="1" applyAlignment="1">
      <alignment horizontal="center"/>
    </xf>
    <xf numFmtId="10" fontId="2" fillId="0" borderId="20" xfId="3" applyNumberFormat="1" applyFont="1" applyBorder="1" applyAlignment="1">
      <alignment horizontal="center"/>
    </xf>
    <xf numFmtId="169" fontId="2" fillId="0" borderId="12" xfId="3" applyNumberFormat="1" applyFont="1" applyBorder="1" applyAlignment="1">
      <alignment horizontal="center"/>
    </xf>
    <xf numFmtId="10" fontId="2" fillId="0" borderId="18" xfId="2" applyNumberFormat="1" applyFont="1" applyBorder="1" applyAlignment="1">
      <alignment horizontal="center"/>
    </xf>
    <xf numFmtId="169" fontId="2" fillId="0" borderId="23" xfId="3" applyNumberFormat="1" applyFont="1" applyBorder="1"/>
    <xf numFmtId="10" fontId="2" fillId="0" borderId="23" xfId="3" applyNumberFormat="1" applyFont="1" applyBorder="1" applyAlignment="1">
      <alignment horizontal="center"/>
    </xf>
    <xf numFmtId="10" fontId="2" fillId="0" borderId="23" xfId="2" applyNumberFormat="1" applyFont="1" applyBorder="1" applyAlignment="1">
      <alignment horizontal="center"/>
    </xf>
    <xf numFmtId="169" fontId="3" fillId="0" borderId="17" xfId="3" applyNumberFormat="1" applyFont="1" applyBorder="1" applyAlignment="1">
      <alignment horizontal="center"/>
    </xf>
    <xf numFmtId="9" fontId="3" fillId="0" borderId="14" xfId="3" applyNumberFormat="1" applyFont="1" applyBorder="1" applyAlignment="1">
      <alignment horizontal="center"/>
    </xf>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0" borderId="4" xfId="0" applyFont="1" applyBorder="1"/>
    <xf numFmtId="0" fontId="2" fillId="0" borderId="5" xfId="0" applyFont="1" applyBorder="1"/>
    <xf numFmtId="0" fontId="3" fillId="0" borderId="0" xfId="0" applyFont="1" applyBorder="1"/>
    <xf numFmtId="169" fontId="2" fillId="0" borderId="0" xfId="0" applyNumberFormat="1" applyFont="1"/>
    <xf numFmtId="0" fontId="3" fillId="0" borderId="12" xfId="3" applyFont="1" applyBorder="1" applyAlignment="1">
      <alignment horizontal="center" wrapText="1"/>
    </xf>
    <xf numFmtId="9" fontId="2" fillId="0" borderId="0" xfId="3" applyNumberFormat="1" applyFont="1" applyBorder="1"/>
    <xf numFmtId="0" fontId="2" fillId="0" borderId="0" xfId="3" applyFont="1" applyBorder="1" applyAlignment="1">
      <alignment horizontal="center" vertical="top" wrapText="1"/>
    </xf>
    <xf numFmtId="3" fontId="2" fillId="0" borderId="0" xfId="3" applyNumberFormat="1" applyFont="1" applyBorder="1" applyAlignment="1">
      <alignment horizontal="justify" vertical="top" wrapText="1"/>
    </xf>
    <xf numFmtId="0" fontId="4" fillId="0" borderId="0" xfId="3" applyFont="1" applyBorder="1" applyAlignment="1">
      <alignment horizontal="left"/>
    </xf>
    <xf numFmtId="0" fontId="3" fillId="0" borderId="0" xfId="0" applyFont="1" applyBorder="1" applyAlignment="1">
      <alignment horizontal="center"/>
    </xf>
    <xf numFmtId="0" fontId="2" fillId="0" borderId="0" xfId="0" applyFont="1" applyBorder="1" applyAlignment="1">
      <alignment horizontal="center"/>
    </xf>
    <xf numFmtId="3" fontId="3" fillId="0" borderId="0" xfId="3" applyNumberFormat="1" applyFont="1" applyBorder="1" applyAlignment="1">
      <alignment horizontal="center"/>
    </xf>
    <xf numFmtId="0" fontId="3" fillId="0" borderId="24" xfId="3" applyFont="1" applyBorder="1" applyAlignment="1">
      <alignment horizontal="left"/>
    </xf>
    <xf numFmtId="0" fontId="3" fillId="0" borderId="24" xfId="3" applyFont="1" applyBorder="1"/>
    <xf numFmtId="3" fontId="3" fillId="0" borderId="24" xfId="3" applyNumberFormat="1" applyFont="1" applyBorder="1"/>
    <xf numFmtId="0" fontId="2" fillId="0" borderId="7" xfId="0" applyFont="1" applyBorder="1"/>
    <xf numFmtId="169" fontId="2" fillId="0" borderId="0" xfId="3" applyNumberFormat="1" applyFont="1" applyBorder="1" applyAlignment="1">
      <alignment horizontal="center"/>
    </xf>
    <xf numFmtId="3" fontId="3" fillId="0" borderId="24" xfId="3" applyNumberFormat="1" applyFont="1" applyBorder="1" applyAlignment="1">
      <alignment horizontal="center"/>
    </xf>
    <xf numFmtId="0" fontId="5" fillId="0" borderId="0" xfId="3" applyFont="1" applyBorder="1" applyAlignment="1">
      <alignment horizontal="left" vertical="top" wrapText="1"/>
    </xf>
    <xf numFmtId="164" fontId="2" fillId="0" borderId="0" xfId="1" applyFont="1"/>
    <xf numFmtId="0" fontId="2" fillId="0" borderId="0" xfId="3" applyFont="1" applyAlignment="1">
      <alignment horizontal="left"/>
    </xf>
    <xf numFmtId="0" fontId="2" fillId="0" borderId="11" xfId="3" applyFont="1" applyBorder="1" applyAlignment="1">
      <alignment horizontal="left"/>
    </xf>
    <xf numFmtId="169" fontId="2" fillId="0" borderId="22" xfId="3" applyNumberFormat="1" applyFont="1" applyBorder="1"/>
    <xf numFmtId="169" fontId="3" fillId="0" borderId="16" xfId="3" applyNumberFormat="1" applyFont="1" applyBorder="1"/>
    <xf numFmtId="0" fontId="2" fillId="0" borderId="15" xfId="3" applyFont="1" applyFill="1" applyBorder="1" applyAlignment="1">
      <alignment horizontal="left"/>
    </xf>
    <xf numFmtId="169" fontId="2" fillId="0" borderId="16" xfId="3" applyNumberFormat="1" applyFont="1" applyFill="1" applyBorder="1"/>
    <xf numFmtId="169" fontId="2" fillId="0" borderId="16" xfId="3" applyNumberFormat="1" applyFont="1" applyFill="1" applyBorder="1" applyAlignment="1">
      <alignment horizontal="center"/>
    </xf>
    <xf numFmtId="169" fontId="2" fillId="0" borderId="18" xfId="3" applyNumberFormat="1" applyFont="1" applyFill="1" applyBorder="1" applyAlignment="1">
      <alignment horizontal="center"/>
    </xf>
    <xf numFmtId="169" fontId="2" fillId="0" borderId="18" xfId="3" applyNumberFormat="1" applyFont="1" applyFill="1" applyBorder="1"/>
    <xf numFmtId="169" fontId="2" fillId="0" borderId="12" xfId="3" applyNumberFormat="1" applyFont="1" applyFill="1" applyBorder="1"/>
    <xf numFmtId="0" fontId="3" fillId="0" borderId="15" xfId="3" applyFont="1" applyFill="1" applyBorder="1" applyAlignment="1">
      <alignment horizontal="left"/>
    </xf>
    <xf numFmtId="0" fontId="3" fillId="0" borderId="16" xfId="3" applyFont="1" applyFill="1" applyBorder="1" applyAlignment="1">
      <alignment horizontal="left"/>
    </xf>
    <xf numFmtId="10" fontId="3" fillId="0" borderId="16" xfId="3" applyNumberFormat="1" applyFont="1" applyFill="1" applyBorder="1" applyAlignment="1">
      <alignment horizontal="left"/>
    </xf>
    <xf numFmtId="0" fontId="3" fillId="0" borderId="13" xfId="3" applyFont="1" applyFill="1" applyBorder="1" applyAlignment="1">
      <alignment horizontal="left"/>
    </xf>
    <xf numFmtId="0" fontId="2" fillId="0" borderId="16" xfId="3" applyFont="1" applyFill="1" applyBorder="1" applyAlignment="1">
      <alignment horizontal="left"/>
    </xf>
    <xf numFmtId="169" fontId="2" fillId="0" borderId="0" xfId="3" applyNumberFormat="1" applyFont="1" applyFill="1" applyBorder="1"/>
    <xf numFmtId="3" fontId="2" fillId="0" borderId="16" xfId="3" applyNumberFormat="1" applyFont="1" applyFill="1" applyBorder="1" applyAlignment="1">
      <alignment horizontal="left"/>
    </xf>
    <xf numFmtId="0" fontId="2" fillId="0" borderId="21" xfId="3" applyFont="1" applyFill="1" applyBorder="1"/>
    <xf numFmtId="169" fontId="2" fillId="0" borderId="19" xfId="3" applyNumberFormat="1" applyFont="1" applyFill="1" applyBorder="1"/>
    <xf numFmtId="0" fontId="3" fillId="0" borderId="17" xfId="3" applyFont="1" applyFill="1" applyBorder="1" applyAlignment="1">
      <alignment horizontal="left"/>
    </xf>
    <xf numFmtId="169" fontId="3" fillId="0" borderId="14" xfId="3" applyNumberFormat="1" applyFont="1" applyFill="1" applyBorder="1"/>
    <xf numFmtId="169" fontId="2" fillId="0" borderId="20" xfId="3" applyNumberFormat="1" applyFont="1" applyFill="1" applyBorder="1"/>
    <xf numFmtId="10" fontId="2" fillId="0" borderId="19" xfId="3" applyNumberFormat="1" applyFont="1" applyBorder="1" applyAlignment="1">
      <alignment horizontal="center"/>
    </xf>
    <xf numFmtId="169" fontId="2" fillId="0" borderId="23" xfId="3" applyNumberFormat="1" applyFont="1" applyBorder="1" applyAlignment="1">
      <alignment horizontal="center"/>
    </xf>
    <xf numFmtId="169" fontId="3" fillId="0" borderId="14" xfId="3" applyNumberFormat="1" applyFont="1" applyBorder="1" applyAlignment="1">
      <alignment horizontal="center"/>
    </xf>
    <xf numFmtId="0" fontId="2" fillId="0" borderId="7" xfId="3" applyFont="1" applyBorder="1" applyAlignment="1">
      <alignment horizontal="center"/>
    </xf>
    <xf numFmtId="0" fontId="2" fillId="0" borderId="0" xfId="3" applyFont="1" applyAlignment="1">
      <alignment horizontal="center"/>
    </xf>
    <xf numFmtId="0" fontId="6"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xf numFmtId="0" fontId="2" fillId="0" borderId="0" xfId="3" applyFont="1" applyAlignment="1">
      <alignment horizontal="center" vertical="justify" wrapText="1"/>
    </xf>
    <xf numFmtId="169" fontId="6" fillId="0" borderId="0" xfId="0" applyNumberFormat="1" applyFont="1"/>
    <xf numFmtId="0" fontId="6" fillId="0" borderId="6" xfId="0" applyFont="1" applyBorder="1"/>
    <xf numFmtId="0" fontId="6" fillId="0" borderId="7" xfId="0" applyFont="1" applyBorder="1"/>
    <xf numFmtId="164" fontId="6" fillId="0" borderId="0" xfId="1" applyFont="1"/>
    <xf numFmtId="3" fontId="2" fillId="0" borderId="0" xfId="3" applyNumberFormat="1" applyFont="1"/>
    <xf numFmtId="0" fontId="2" fillId="0" borderId="0" xfId="3" applyFont="1" applyAlignment="1">
      <alignment horizontal="right"/>
    </xf>
    <xf numFmtId="0" fontId="2" fillId="0" borderId="1" xfId="3" applyFont="1" applyBorder="1"/>
    <xf numFmtId="0" fontId="2" fillId="0" borderId="2" xfId="3" applyFont="1" applyBorder="1"/>
    <xf numFmtId="0" fontId="2" fillId="0" borderId="3" xfId="3" applyFont="1" applyBorder="1" applyAlignment="1">
      <alignment horizontal="center"/>
    </xf>
    <xf numFmtId="0" fontId="2" fillId="0" borderId="4" xfId="3" applyFont="1" applyBorder="1"/>
    <xf numFmtId="0" fontId="2" fillId="0" borderId="5" xfId="3" applyFont="1" applyBorder="1" applyAlignment="1">
      <alignment horizontal="center"/>
    </xf>
    <xf numFmtId="0" fontId="2" fillId="0" borderId="0" xfId="3" applyFont="1" applyBorder="1" applyAlignment="1">
      <alignment horizontal="right"/>
    </xf>
    <xf numFmtId="0" fontId="2" fillId="0" borderId="0" xfId="3" applyFont="1" applyBorder="1" applyAlignment="1">
      <alignment horizontal="left" vertical="top"/>
    </xf>
    <xf numFmtId="169" fontId="2" fillId="0" borderId="0" xfId="0" applyNumberFormat="1" applyFont="1" applyBorder="1"/>
    <xf numFmtId="170" fontId="2" fillId="0" borderId="0" xfId="0" applyNumberFormat="1" applyFont="1" applyBorder="1"/>
    <xf numFmtId="169" fontId="2" fillId="0" borderId="22" xfId="0" applyNumberFormat="1" applyFont="1" applyBorder="1"/>
    <xf numFmtId="0" fontId="3" fillId="0" borderId="17" xfId="0" applyFont="1" applyBorder="1"/>
    <xf numFmtId="170" fontId="3" fillId="0" borderId="13" xfId="0" applyNumberFormat="1" applyFont="1" applyBorder="1"/>
    <xf numFmtId="0" fontId="2" fillId="0" borderId="5" xfId="3" applyFont="1" applyBorder="1" applyAlignment="1">
      <alignment horizontal="center" vertical="justify" wrapText="1"/>
    </xf>
    <xf numFmtId="0" fontId="3" fillId="0" borderId="0" xfId="3" applyFont="1" applyBorder="1" applyAlignment="1">
      <alignment horizontal="right"/>
    </xf>
    <xf numFmtId="0" fontId="2" fillId="0" borderId="6" xfId="3" applyFont="1" applyBorder="1" applyAlignment="1">
      <alignment horizontal="center"/>
    </xf>
    <xf numFmtId="0" fontId="2" fillId="0" borderId="7" xfId="3" applyFont="1" applyBorder="1" applyAlignment="1">
      <alignment horizontal="right"/>
    </xf>
    <xf numFmtId="0" fontId="8" fillId="0" borderId="7" xfId="0" applyFont="1" applyBorder="1"/>
    <xf numFmtId="0" fontId="2" fillId="0" borderId="7" xfId="3" applyFont="1" applyBorder="1"/>
    <xf numFmtId="3" fontId="2" fillId="0" borderId="8" xfId="3" applyNumberFormat="1" applyFont="1" applyBorder="1" applyAlignment="1">
      <alignment horizontal="center"/>
    </xf>
    <xf numFmtId="0" fontId="2" fillId="0" borderId="0" xfId="3" applyFont="1" applyAlignment="1">
      <alignment horizontal="justify" vertical="top" wrapText="1"/>
    </xf>
    <xf numFmtId="168" fontId="2" fillId="0" borderId="0" xfId="3" applyNumberFormat="1" applyFont="1"/>
    <xf numFmtId="169" fontId="2" fillId="0" borderId="0" xfId="0" applyNumberFormat="1" applyFont="1" applyFill="1" applyBorder="1"/>
    <xf numFmtId="169" fontId="2" fillId="0" borderId="18" xfId="0" applyNumberFormat="1" applyFont="1" applyFill="1" applyBorder="1"/>
    <xf numFmtId="169" fontId="2" fillId="0" borderId="16" xfId="0" applyNumberFormat="1" applyFont="1" applyFill="1" applyBorder="1"/>
    <xf numFmtId="0" fontId="3" fillId="0" borderId="15" xfId="0" applyFont="1" applyBorder="1"/>
    <xf numFmtId="0" fontId="2" fillId="0" borderId="18" xfId="0" applyFont="1" applyBorder="1"/>
    <xf numFmtId="0" fontId="2" fillId="0" borderId="15" xfId="0" applyFont="1" applyBorder="1"/>
    <xf numFmtId="0" fontId="2" fillId="0" borderId="16" xfId="0" applyFont="1" applyBorder="1"/>
    <xf numFmtId="0" fontId="9" fillId="0" borderId="0" xfId="0" applyFont="1" applyBorder="1"/>
    <xf numFmtId="3" fontId="2" fillId="0" borderId="0" xfId="0" applyNumberFormat="1" applyFont="1" applyBorder="1"/>
    <xf numFmtId="169" fontId="3" fillId="0" borderId="0" xfId="3" applyNumberFormat="1" applyFont="1" applyBorder="1" applyAlignment="1">
      <alignment horizontal="center"/>
    </xf>
    <xf numFmtId="0" fontId="3" fillId="0" borderId="21" xfId="0" applyFont="1" applyBorder="1"/>
    <xf numFmtId="0" fontId="2" fillId="0" borderId="6" xfId="0" applyFont="1" applyBorder="1"/>
    <xf numFmtId="0" fontId="3" fillId="0" borderId="0" xfId="3" applyFont="1" applyBorder="1" applyAlignment="1">
      <alignment horizontal="justify" wrapText="1"/>
    </xf>
    <xf numFmtId="165" fontId="2" fillId="0" borderId="11" xfId="1" applyNumberFormat="1" applyFont="1" applyBorder="1" applyAlignment="1">
      <alignment horizontal="center"/>
    </xf>
    <xf numFmtId="0" fontId="2" fillId="0" borderId="12" xfId="3" applyFont="1" applyBorder="1" applyAlignment="1">
      <alignment horizontal="center"/>
    </xf>
    <xf numFmtId="0" fontId="2" fillId="0" borderId="14" xfId="3" applyFont="1" applyBorder="1" applyAlignment="1">
      <alignment horizontal="center" wrapText="1"/>
    </xf>
    <xf numFmtId="165" fontId="2" fillId="0" borderId="14" xfId="1" applyNumberFormat="1" applyFont="1" applyBorder="1" applyAlignment="1">
      <alignment horizontal="center"/>
    </xf>
    <xf numFmtId="0" fontId="2" fillId="0" borderId="14" xfId="3" applyFont="1" applyBorder="1" applyAlignment="1">
      <alignment horizontal="center"/>
    </xf>
    <xf numFmtId="169" fontId="2" fillId="0" borderId="23" xfId="3" applyNumberFormat="1" applyFont="1" applyFill="1" applyBorder="1"/>
    <xf numFmtId="0" fontId="3" fillId="0" borderId="24" xfId="3" applyFont="1" applyBorder="1" applyAlignment="1">
      <alignment horizontal="center"/>
    </xf>
    <xf numFmtId="0" fontId="2" fillId="0" borderId="24" xfId="3" applyFont="1" applyBorder="1" applyAlignment="1">
      <alignment horizontal="left"/>
    </xf>
    <xf numFmtId="0" fontId="2" fillId="0" borderId="0" xfId="3" applyFont="1" applyFill="1" applyBorder="1" applyAlignment="1">
      <alignment horizontal="left"/>
    </xf>
    <xf numFmtId="0" fontId="3" fillId="0" borderId="0" xfId="3" applyFont="1" applyFill="1" applyBorder="1" applyAlignment="1">
      <alignment horizontal="left"/>
    </xf>
    <xf numFmtId="0" fontId="2" fillId="0" borderId="22" xfId="3" applyFont="1" applyFill="1" applyBorder="1"/>
    <xf numFmtId="0" fontId="3" fillId="0" borderId="9" xfId="3" applyFont="1" applyFill="1" applyBorder="1" applyAlignment="1">
      <alignment horizontal="left"/>
    </xf>
    <xf numFmtId="0" fontId="3" fillId="0" borderId="9" xfId="0" applyFont="1" applyBorder="1"/>
    <xf numFmtId="9" fontId="3" fillId="0" borderId="9" xfId="3" applyNumberFormat="1" applyFont="1" applyBorder="1" applyAlignment="1">
      <alignment horizontal="center"/>
    </xf>
    <xf numFmtId="169" fontId="3" fillId="0" borderId="13" xfId="0" applyNumberFormat="1" applyFont="1" applyBorder="1"/>
    <xf numFmtId="9" fontId="9" fillId="0" borderId="0" xfId="0" applyNumberFormat="1" applyFont="1" applyBorder="1" applyAlignment="1">
      <alignment horizontal="center"/>
    </xf>
    <xf numFmtId="169" fontId="3" fillId="0" borderId="13" xfId="3" applyNumberFormat="1" applyFont="1" applyBorder="1" applyAlignment="1">
      <alignment horizontal="center"/>
    </xf>
    <xf numFmtId="9" fontId="3" fillId="0" borderId="14" xfId="2" applyFont="1" applyBorder="1" applyAlignment="1">
      <alignment horizontal="center" wrapText="1"/>
    </xf>
    <xf numFmtId="171" fontId="2" fillId="0" borderId="11" xfId="2" applyNumberFormat="1" applyFont="1" applyBorder="1" applyAlignment="1">
      <alignment horizontal="center"/>
    </xf>
    <xf numFmtId="171" fontId="2" fillId="0" borderId="14" xfId="1" applyNumberFormat="1" applyFont="1" applyBorder="1" applyAlignment="1">
      <alignment horizontal="center"/>
    </xf>
    <xf numFmtId="0" fontId="2" fillId="0" borderId="17" xfId="0" applyFont="1" applyBorder="1" applyAlignment="1"/>
    <xf numFmtId="0" fontId="2" fillId="0" borderId="13" xfId="0" applyFont="1" applyBorder="1" applyAlignment="1"/>
    <xf numFmtId="0" fontId="2" fillId="0" borderId="16" xfId="0" applyFont="1" applyBorder="1" applyAlignment="1">
      <alignment horizontal="center"/>
    </xf>
    <xf numFmtId="0" fontId="3" fillId="0" borderId="19" xfId="0" applyFont="1" applyBorder="1" applyAlignment="1">
      <alignment horizontal="center" vertical="center"/>
    </xf>
    <xf numFmtId="0" fontId="2" fillId="0" borderId="0" xfId="3" applyFont="1" applyBorder="1" applyAlignment="1">
      <alignment horizontal="justify" vertical="justify"/>
    </xf>
    <xf numFmtId="0" fontId="2" fillId="0" borderId="0" xfId="3" applyFont="1" applyBorder="1" applyAlignment="1">
      <alignment horizontal="justify" wrapText="1"/>
    </xf>
    <xf numFmtId="0" fontId="3" fillId="0" borderId="13" xfId="3" applyFont="1" applyBorder="1" applyAlignment="1">
      <alignment horizontal="center"/>
    </xf>
    <xf numFmtId="0" fontId="3" fillId="0" borderId="14" xfId="3" applyFont="1" applyBorder="1" applyAlignment="1">
      <alignment horizontal="center"/>
    </xf>
    <xf numFmtId="0" fontId="2" fillId="0" borderId="0" xfId="3" applyFont="1" applyBorder="1" applyAlignment="1">
      <alignment horizontal="justify" vertical="top" wrapText="1"/>
    </xf>
    <xf numFmtId="0" fontId="3" fillId="0" borderId="0" xfId="3" applyFont="1" applyBorder="1" applyAlignment="1">
      <alignment horizontal="left" vertical="top" wrapText="1"/>
    </xf>
    <xf numFmtId="14" fontId="2" fillId="0" borderId="0" xfId="3" applyNumberFormat="1" applyFont="1" applyBorder="1" applyAlignment="1">
      <alignment horizontal="right" wrapText="1"/>
    </xf>
    <xf numFmtId="172" fontId="2" fillId="0" borderId="0" xfId="0" applyNumberFormat="1" applyFont="1"/>
    <xf numFmtId="0" fontId="2" fillId="0" borderId="0" xfId="0" applyFont="1" applyFill="1" applyAlignment="1">
      <alignment horizontal="center"/>
    </xf>
    <xf numFmtId="0" fontId="6" fillId="0" borderId="0" xfId="0" applyFont="1" applyFill="1"/>
    <xf numFmtId="3" fontId="2" fillId="0" borderId="0" xfId="3" applyNumberFormat="1" applyFont="1" applyFill="1" applyBorder="1"/>
    <xf numFmtId="3" fontId="3" fillId="0" borderId="0" xfId="3" applyNumberFormat="1" applyFont="1" applyFill="1" applyBorder="1"/>
    <xf numFmtId="0" fontId="2" fillId="0" borderId="0" xfId="3" applyFont="1" applyFill="1" applyAlignment="1">
      <alignment horizontal="center"/>
    </xf>
    <xf numFmtId="0" fontId="2" fillId="0" borderId="0" xfId="3" applyFont="1" applyFill="1"/>
    <xf numFmtId="0" fontId="2" fillId="0" borderId="0" xfId="3" applyFont="1" applyBorder="1" applyAlignment="1">
      <alignment horizontal="justify"/>
    </xf>
    <xf numFmtId="0" fontId="3" fillId="0" borderId="11" xfId="3" applyFont="1" applyBorder="1" applyAlignment="1">
      <alignment horizontal="center"/>
    </xf>
    <xf numFmtId="0" fontId="3" fillId="0" borderId="13" xfId="3" applyFont="1" applyBorder="1" applyAlignment="1">
      <alignment horizontal="center"/>
    </xf>
    <xf numFmtId="0" fontId="3" fillId="0" borderId="9" xfId="3" applyFont="1" applyBorder="1" applyAlignment="1">
      <alignment horizontal="center"/>
    </xf>
    <xf numFmtId="0" fontId="3" fillId="0" borderId="14" xfId="3" applyFont="1" applyBorder="1" applyAlignment="1">
      <alignment horizontal="center"/>
    </xf>
    <xf numFmtId="0" fontId="2" fillId="0" borderId="15" xfId="3" applyFont="1" applyBorder="1" applyAlignment="1">
      <alignment horizontal="justify" vertical="center" wrapText="1"/>
    </xf>
    <xf numFmtId="3" fontId="2" fillId="0" borderId="16" xfId="3" applyNumberFormat="1" applyFont="1" applyBorder="1" applyAlignment="1">
      <alignment horizontal="center" vertical="center"/>
    </xf>
    <xf numFmtId="3" fontId="2" fillId="0" borderId="0" xfId="3" applyNumberFormat="1" applyFont="1" applyBorder="1" applyAlignment="1">
      <alignment horizontal="center"/>
    </xf>
    <xf numFmtId="0" fontId="6" fillId="0" borderId="0" xfId="0" applyFont="1" applyAlignment="1">
      <alignment horizontal="center"/>
    </xf>
    <xf numFmtId="0" fontId="6" fillId="0" borderId="0" xfId="0" applyFont="1" applyAlignment="1">
      <alignment horizontal="left"/>
    </xf>
    <xf numFmtId="0" fontId="3" fillId="0" borderId="11" xfId="3" applyFont="1" applyFill="1" applyBorder="1" applyAlignment="1">
      <alignment horizontal="left"/>
    </xf>
    <xf numFmtId="0" fontId="3" fillId="0" borderId="24" xfId="3" applyFont="1" applyFill="1" applyBorder="1" applyAlignment="1">
      <alignment horizontal="left"/>
    </xf>
    <xf numFmtId="0" fontId="2" fillId="0" borderId="12" xfId="3" applyFont="1" applyFill="1" applyBorder="1" applyAlignment="1">
      <alignment horizontal="left"/>
    </xf>
    <xf numFmtId="169" fontId="2" fillId="0" borderId="16" xfId="0" applyNumberFormat="1" applyFont="1" applyBorder="1"/>
    <xf numFmtId="0" fontId="2" fillId="0" borderId="21" xfId="0" applyFont="1" applyBorder="1"/>
    <xf numFmtId="0" fontId="2" fillId="0" borderId="22" xfId="0" applyFont="1" applyBorder="1"/>
    <xf numFmtId="0" fontId="2" fillId="0" borderId="19" xfId="0" applyFont="1" applyBorder="1"/>
    <xf numFmtId="165" fontId="2" fillId="0" borderId="0" xfId="1" applyNumberFormat="1" applyFont="1" applyBorder="1" applyAlignment="1">
      <alignment horizontal="center"/>
    </xf>
    <xf numFmtId="166" fontId="3" fillId="0" borderId="0" xfId="3" applyNumberFormat="1" applyFont="1" applyBorder="1"/>
    <xf numFmtId="169" fontId="2" fillId="0" borderId="18" xfId="0" applyNumberFormat="1" applyFont="1" applyBorder="1"/>
    <xf numFmtId="169" fontId="2" fillId="0" borderId="0" xfId="3" applyNumberFormat="1" applyFont="1" applyBorder="1" applyAlignment="1">
      <alignment horizontal="left"/>
    </xf>
    <xf numFmtId="165" fontId="2" fillId="0" borderId="0" xfId="3" applyNumberFormat="1" applyFont="1" applyBorder="1" applyAlignment="1">
      <alignment horizontal="center"/>
    </xf>
    <xf numFmtId="165" fontId="3" fillId="0" borderId="9" xfId="3" applyNumberFormat="1" applyFont="1" applyBorder="1" applyAlignment="1">
      <alignment horizontal="center"/>
    </xf>
    <xf numFmtId="169" fontId="3" fillId="0" borderId="0" xfId="3" applyNumberFormat="1" applyFont="1" applyBorder="1" applyAlignment="1">
      <alignment horizontal="right"/>
    </xf>
    <xf numFmtId="169" fontId="3" fillId="0" borderId="14" xfId="0" applyNumberFormat="1" applyFont="1" applyBorder="1"/>
    <xf numFmtId="173" fontId="11" fillId="2" borderId="0" xfId="0" applyNumberFormat="1" applyFont="1" applyFill="1" applyBorder="1"/>
    <xf numFmtId="0" fontId="11" fillId="2" borderId="5" xfId="0" applyFont="1" applyFill="1" applyBorder="1"/>
    <xf numFmtId="0" fontId="11" fillId="2" borderId="0" xfId="0" applyFont="1" applyFill="1"/>
    <xf numFmtId="173" fontId="11" fillId="2" borderId="0" xfId="3" applyNumberFormat="1" applyFont="1" applyFill="1" applyBorder="1" applyAlignment="1">
      <alignment horizontal="center"/>
    </xf>
    <xf numFmtId="173" fontId="11" fillId="2" borderId="0" xfId="3" applyNumberFormat="1" applyFont="1" applyFill="1" applyBorder="1" applyAlignment="1">
      <alignment horizontal="left"/>
    </xf>
    <xf numFmtId="172" fontId="11" fillId="2" borderId="0" xfId="3" applyNumberFormat="1" applyFont="1" applyFill="1" applyBorder="1"/>
    <xf numFmtId="172" fontId="11" fillId="2" borderId="0" xfId="0" applyNumberFormat="1" applyFont="1" applyFill="1"/>
    <xf numFmtId="173" fontId="11" fillId="2" borderId="0" xfId="1" applyNumberFormat="1" applyFont="1" applyFill="1" applyBorder="1" applyAlignment="1">
      <alignment horizontal="left"/>
    </xf>
    <xf numFmtId="171" fontId="11" fillId="2" borderId="0" xfId="2" applyNumberFormat="1" applyFont="1" applyFill="1" applyBorder="1"/>
    <xf numFmtId="172" fontId="11" fillId="2" borderId="5" xfId="3" applyNumberFormat="1" applyFont="1" applyFill="1" applyBorder="1"/>
    <xf numFmtId="172" fontId="11" fillId="2" borderId="0" xfId="0" applyNumberFormat="1" applyFont="1" applyFill="1" applyBorder="1"/>
    <xf numFmtId="165" fontId="11" fillId="2" borderId="0" xfId="0" applyNumberFormat="1" applyFont="1" applyFill="1"/>
    <xf numFmtId="0" fontId="11" fillId="2" borderId="0" xfId="0" applyFont="1" applyFill="1" applyBorder="1"/>
    <xf numFmtId="3" fontId="11" fillId="2" borderId="0" xfId="0" applyNumberFormat="1" applyFont="1" applyFill="1" applyBorder="1"/>
    <xf numFmtId="3" fontId="11" fillId="2" borderId="0" xfId="0" applyNumberFormat="1" applyFont="1" applyFill="1"/>
    <xf numFmtId="173" fontId="11" fillId="2" borderId="7" xfId="0" applyNumberFormat="1" applyFont="1" applyFill="1" applyBorder="1" applyAlignment="1">
      <alignment horizontal="right"/>
    </xf>
    <xf numFmtId="173" fontId="5" fillId="2" borderId="7" xfId="0" applyNumberFormat="1" applyFont="1" applyFill="1" applyBorder="1"/>
    <xf numFmtId="173" fontId="11" fillId="2" borderId="7" xfId="0" applyNumberFormat="1" applyFont="1" applyFill="1" applyBorder="1"/>
    <xf numFmtId="173" fontId="5" fillId="2" borderId="7" xfId="3" applyNumberFormat="1" applyFont="1" applyFill="1" applyBorder="1"/>
    <xf numFmtId="0" fontId="11" fillId="2" borderId="7" xfId="0" applyFont="1" applyFill="1" applyBorder="1"/>
    <xf numFmtId="0" fontId="11" fillId="2" borderId="8" xfId="0" applyFont="1" applyFill="1" applyBorder="1"/>
    <xf numFmtId="0" fontId="11" fillId="0" borderId="0" xfId="0" applyFont="1"/>
    <xf numFmtId="165" fontId="3" fillId="0" borderId="25" xfId="3" applyNumberFormat="1" applyFont="1" applyBorder="1" applyAlignment="1">
      <alignment horizontal="center"/>
    </xf>
    <xf numFmtId="0" fontId="3" fillId="0" borderId="0" xfId="3" applyFont="1" applyBorder="1" applyAlignment="1">
      <alignment horizontal="justify"/>
    </xf>
    <xf numFmtId="0" fontId="2" fillId="0" borderId="6" xfId="3" applyFont="1" applyBorder="1"/>
    <xf numFmtId="3" fontId="2" fillId="0" borderId="7" xfId="3" applyNumberFormat="1" applyFont="1" applyBorder="1"/>
    <xf numFmtId="0" fontId="2" fillId="0" borderId="8" xfId="3" applyFont="1" applyBorder="1" applyAlignment="1">
      <alignment horizontal="center"/>
    </xf>
    <xf numFmtId="167" fontId="2" fillId="0" borderId="0" xfId="3" applyNumberFormat="1" applyFont="1"/>
    <xf numFmtId="0" fontId="8" fillId="0" borderId="0" xfId="0" applyFont="1"/>
    <xf numFmtId="3" fontId="2" fillId="0" borderId="0" xfId="0" applyNumberFormat="1" applyFont="1" applyBorder="1" applyAlignment="1">
      <alignment horizontal="center"/>
    </xf>
    <xf numFmtId="3" fontId="2" fillId="0" borderId="13" xfId="0" applyNumberFormat="1" applyFont="1" applyBorder="1"/>
    <xf numFmtId="0" fontId="3" fillId="0" borderId="11" xfId="0" applyFont="1" applyBorder="1"/>
    <xf numFmtId="0" fontId="2" fillId="0" borderId="8" xfId="0" applyFont="1" applyBorder="1"/>
    <xf numFmtId="0" fontId="2" fillId="0" borderId="0" xfId="3" applyFont="1" applyBorder="1" applyAlignment="1">
      <alignment horizontal="justify" vertical="top" wrapText="1"/>
    </xf>
    <xf numFmtId="169" fontId="2" fillId="0" borderId="12" xfId="3" applyNumberFormat="1" applyFont="1" applyBorder="1"/>
    <xf numFmtId="0" fontId="2" fillId="0" borderId="12" xfId="3" applyFont="1" applyBorder="1" applyAlignment="1">
      <alignment horizontal="left"/>
    </xf>
    <xf numFmtId="169" fontId="3" fillId="0" borderId="16" xfId="0" applyNumberFormat="1" applyFont="1" applyBorder="1"/>
    <xf numFmtId="9" fontId="2" fillId="0" borderId="0" xfId="0" applyNumberFormat="1" applyFont="1" applyBorder="1"/>
    <xf numFmtId="169" fontId="2" fillId="0" borderId="22" xfId="3" applyNumberFormat="1" applyFont="1" applyBorder="1" applyAlignment="1">
      <alignment horizontal="center"/>
    </xf>
    <xf numFmtId="9" fontId="3" fillId="0" borderId="0" xfId="0" applyNumberFormat="1" applyFont="1" applyBorder="1"/>
    <xf numFmtId="3" fontId="2" fillId="0" borderId="0" xfId="3" applyNumberFormat="1" applyFont="1" applyBorder="1" applyAlignment="1"/>
    <xf numFmtId="0" fontId="2" fillId="0" borderId="0" xfId="3" applyFont="1" applyBorder="1" applyAlignment="1"/>
    <xf numFmtId="9" fontId="3" fillId="0" borderId="0" xfId="0" applyNumberFormat="1" applyFont="1" applyBorder="1" applyAlignment="1">
      <alignment horizontal="center"/>
    </xf>
    <xf numFmtId="0" fontId="3" fillId="0" borderId="17" xfId="3" applyFont="1" applyBorder="1" applyAlignment="1">
      <alignment vertical="center"/>
    </xf>
    <xf numFmtId="3" fontId="2" fillId="0" borderId="17" xfId="0" applyNumberFormat="1" applyFont="1" applyBorder="1" applyAlignment="1">
      <alignment horizontal="left"/>
    </xf>
    <xf numFmtId="0" fontId="11" fillId="0" borderId="0" xfId="0" applyFont="1" applyAlignment="1">
      <alignment horizontal="center"/>
    </xf>
    <xf numFmtId="3" fontId="11" fillId="0" borderId="0" xfId="3" applyNumberFormat="1" applyFont="1" applyBorder="1"/>
    <xf numFmtId="10" fontId="11" fillId="0" borderId="0" xfId="0" applyNumberFormat="1" applyFont="1"/>
    <xf numFmtId="3" fontId="11" fillId="0" borderId="0" xfId="0" applyNumberFormat="1" applyFont="1"/>
    <xf numFmtId="3" fontId="5" fillId="0" borderId="0" xfId="3" applyNumberFormat="1" applyFont="1" applyBorder="1"/>
    <xf numFmtId="165" fontId="6" fillId="0" borderId="0" xfId="1" applyNumberFormat="1" applyFont="1"/>
    <xf numFmtId="171" fontId="6" fillId="0" borderId="0" xfId="2" applyNumberFormat="1" applyFont="1" applyAlignment="1">
      <alignment horizontal="center"/>
    </xf>
    <xf numFmtId="165" fontId="6" fillId="0" borderId="0" xfId="0" applyNumberFormat="1" applyFont="1"/>
    <xf numFmtId="165" fontId="6" fillId="0" borderId="0" xfId="1" applyNumberFormat="1" applyFont="1" applyAlignment="1">
      <alignment horizontal="center"/>
    </xf>
    <xf numFmtId="0" fontId="2" fillId="0" borderId="0" xfId="3" applyFont="1" applyAlignment="1">
      <alignment horizontal="left" vertical="justify" wrapText="1"/>
    </xf>
    <xf numFmtId="0" fontId="2" fillId="0" borderId="0" xfId="0" applyFont="1" applyFill="1" applyAlignment="1">
      <alignment horizontal="left"/>
    </xf>
    <xf numFmtId="10" fontId="2" fillId="0" borderId="0" xfId="0" applyNumberFormat="1" applyFont="1" applyFill="1" applyAlignment="1">
      <alignment horizontal="center"/>
    </xf>
    <xf numFmtId="3" fontId="6" fillId="0" borderId="0" xfId="0" applyNumberFormat="1" applyFont="1" applyFill="1"/>
    <xf numFmtId="10" fontId="6" fillId="0" borderId="0" xfId="0" applyNumberFormat="1" applyFont="1"/>
    <xf numFmtId="174" fontId="2" fillId="0" borderId="0" xfId="3" applyNumberFormat="1" applyFont="1" applyBorder="1"/>
    <xf numFmtId="169" fontId="5" fillId="0" borderId="0" xfId="3" applyNumberFormat="1" applyFont="1" applyBorder="1" applyAlignment="1">
      <alignment horizontal="center"/>
    </xf>
    <xf numFmtId="9" fontId="5" fillId="0" borderId="0" xfId="3" applyNumberFormat="1" applyFont="1" applyBorder="1" applyAlignment="1">
      <alignment horizontal="center"/>
    </xf>
    <xf numFmtId="0" fontId="11" fillId="0" borderId="0" xfId="0" applyFont="1" applyBorder="1"/>
    <xf numFmtId="0" fontId="11" fillId="0" borderId="5" xfId="0" applyFont="1" applyBorder="1"/>
    <xf numFmtId="0" fontId="2" fillId="0" borderId="0" xfId="3" applyFont="1" applyBorder="1" applyAlignment="1">
      <alignment horizontal="center" wrapText="1"/>
    </xf>
    <xf numFmtId="171" fontId="2" fillId="0" borderId="0" xfId="0" applyNumberFormat="1" applyFont="1"/>
    <xf numFmtId="0" fontId="3" fillId="0" borderId="24" xfId="3" applyFont="1" applyFill="1" applyBorder="1" applyAlignment="1">
      <alignment horizontal="center"/>
    </xf>
    <xf numFmtId="0" fontId="3" fillId="0" borderId="12" xfId="3" applyFont="1" applyFill="1" applyBorder="1" applyAlignment="1">
      <alignment horizontal="center"/>
    </xf>
    <xf numFmtId="0" fontId="3" fillId="0" borderId="0" xfId="3" applyFont="1" applyFill="1" applyBorder="1" applyAlignment="1">
      <alignment horizontal="center"/>
    </xf>
    <xf numFmtId="0" fontId="3" fillId="0" borderId="16" xfId="3" applyFont="1" applyFill="1" applyBorder="1" applyAlignment="1">
      <alignment horizontal="center"/>
    </xf>
    <xf numFmtId="0" fontId="3" fillId="0" borderId="14" xfId="3" applyFont="1" applyFill="1" applyBorder="1" applyAlignment="1">
      <alignment wrapText="1"/>
    </xf>
    <xf numFmtId="0" fontId="3" fillId="0" borderId="15" xfId="3" applyFont="1" applyFill="1" applyBorder="1" applyAlignment="1">
      <alignment horizontal="center"/>
    </xf>
    <xf numFmtId="0" fontId="3" fillId="0" borderId="14" xfId="3" applyFont="1" applyFill="1" applyBorder="1" applyAlignment="1">
      <alignment horizontal="center" wrapText="1"/>
    </xf>
    <xf numFmtId="10" fontId="3" fillId="0" borderId="14" xfId="3" applyNumberFormat="1" applyFont="1" applyFill="1" applyBorder="1" applyAlignment="1">
      <alignment horizontal="center" wrapText="1"/>
    </xf>
    <xf numFmtId="0" fontId="3" fillId="0" borderId="20" xfId="3" applyFont="1" applyFill="1" applyBorder="1" applyAlignment="1">
      <alignment horizontal="center" wrapText="1"/>
    </xf>
    <xf numFmtId="0" fontId="3" fillId="0" borderId="12" xfId="3" applyFont="1" applyFill="1" applyBorder="1" applyAlignment="1">
      <alignment horizontal="center" wrapText="1"/>
    </xf>
    <xf numFmtId="0" fontId="2" fillId="0" borderId="11" xfId="3" applyFont="1" applyFill="1" applyBorder="1" applyAlignment="1">
      <alignment horizontal="left"/>
    </xf>
    <xf numFmtId="0" fontId="2" fillId="0" borderId="24" xfId="3" applyFont="1" applyFill="1" applyBorder="1" applyAlignment="1">
      <alignment horizontal="left"/>
    </xf>
    <xf numFmtId="169" fontId="2" fillId="0" borderId="24" xfId="3" applyNumberFormat="1" applyFont="1" applyFill="1" applyBorder="1"/>
    <xf numFmtId="169" fontId="2" fillId="0" borderId="11" xfId="3" applyNumberFormat="1" applyFont="1" applyFill="1" applyBorder="1"/>
    <xf numFmtId="0" fontId="2" fillId="0" borderId="21" xfId="3" applyFont="1" applyFill="1" applyBorder="1" applyAlignment="1">
      <alignment horizontal="left"/>
    </xf>
    <xf numFmtId="0" fontId="2" fillId="0" borderId="22" xfId="3" applyFont="1" applyFill="1" applyBorder="1" applyAlignment="1">
      <alignment horizontal="left"/>
    </xf>
    <xf numFmtId="171" fontId="3" fillId="0" borderId="22" xfId="3" applyNumberFormat="1" applyFont="1" applyFill="1" applyBorder="1" applyAlignment="1">
      <alignment horizontal="left"/>
    </xf>
    <xf numFmtId="169" fontId="2" fillId="0" borderId="22" xfId="3" applyNumberFormat="1" applyFont="1" applyFill="1" applyBorder="1"/>
    <xf numFmtId="169" fontId="2" fillId="0" borderId="21" xfId="3" applyNumberFormat="1" applyFont="1" applyFill="1" applyBorder="1"/>
    <xf numFmtId="0" fontId="3" fillId="0" borderId="21" xfId="3" applyFont="1" applyFill="1" applyBorder="1" applyAlignment="1">
      <alignment horizontal="left"/>
    </xf>
    <xf numFmtId="0" fontId="3" fillId="0" borderId="22" xfId="3" applyFont="1" applyFill="1" applyBorder="1" applyAlignment="1">
      <alignment horizontal="left"/>
    </xf>
    <xf numFmtId="0" fontId="3" fillId="0" borderId="19" xfId="3" applyFont="1" applyFill="1" applyBorder="1" applyAlignment="1">
      <alignment horizontal="left"/>
    </xf>
    <xf numFmtId="169" fontId="3" fillId="0" borderId="19" xfId="3" applyNumberFormat="1" applyFont="1" applyFill="1" applyBorder="1"/>
    <xf numFmtId="169" fontId="3" fillId="0" borderId="20" xfId="3" applyNumberFormat="1" applyFont="1" applyFill="1" applyBorder="1"/>
    <xf numFmtId="169" fontId="3" fillId="0" borderId="18" xfId="3" applyNumberFormat="1" applyFont="1" applyFill="1" applyBorder="1"/>
    <xf numFmtId="169" fontId="3" fillId="0" borderId="0" xfId="3" applyNumberFormat="1" applyFont="1" applyFill="1" applyBorder="1"/>
    <xf numFmtId="169" fontId="3" fillId="0" borderId="16" xfId="3" applyNumberFormat="1" applyFont="1" applyFill="1" applyBorder="1"/>
    <xf numFmtId="169" fontId="3" fillId="0" borderId="13" xfId="3" applyNumberFormat="1" applyFont="1" applyFill="1" applyBorder="1"/>
    <xf numFmtId="0" fontId="3" fillId="0" borderId="15" xfId="0" applyFont="1" applyFill="1" applyBorder="1"/>
    <xf numFmtId="0" fontId="3" fillId="0" borderId="0" xfId="0" applyFont="1" applyFill="1" applyBorder="1"/>
    <xf numFmtId="169" fontId="2" fillId="0" borderId="14" xfId="3" applyNumberFormat="1" applyFont="1" applyFill="1" applyBorder="1"/>
    <xf numFmtId="0" fontId="2" fillId="0" borderId="18" xfId="0" applyFont="1" applyFill="1" applyBorder="1"/>
    <xf numFmtId="0" fontId="2" fillId="0" borderId="0" xfId="0" applyFont="1" applyFill="1"/>
    <xf numFmtId="169" fontId="2" fillId="0" borderId="0" xfId="0" applyNumberFormat="1" applyFont="1" applyFill="1"/>
    <xf numFmtId="169" fontId="3" fillId="0" borderId="12" xfId="3" applyNumberFormat="1" applyFont="1" applyFill="1" applyBorder="1"/>
    <xf numFmtId="0" fontId="2" fillId="0" borderId="0" xfId="0" applyFont="1" applyFill="1" applyBorder="1"/>
    <xf numFmtId="0" fontId="2" fillId="0" borderId="15" xfId="0" applyFont="1" applyFill="1" applyBorder="1"/>
    <xf numFmtId="0" fontId="2" fillId="0" borderId="21" xfId="0" applyFont="1" applyFill="1" applyBorder="1"/>
    <xf numFmtId="0" fontId="2" fillId="0" borderId="22" xfId="0" applyFont="1" applyFill="1" applyBorder="1"/>
    <xf numFmtId="0" fontId="2" fillId="0" borderId="19" xfId="0" applyFont="1" applyFill="1" applyBorder="1"/>
    <xf numFmtId="0" fontId="2" fillId="0" borderId="23" xfId="0" applyFont="1" applyFill="1" applyBorder="1"/>
    <xf numFmtId="169" fontId="3" fillId="0" borderId="9" xfId="3" applyNumberFormat="1" applyFont="1" applyFill="1" applyBorder="1"/>
    <xf numFmtId="0" fontId="3" fillId="2" borderId="14" xfId="3" applyFont="1" applyFill="1" applyBorder="1" applyAlignment="1">
      <alignment horizontal="left"/>
    </xf>
    <xf numFmtId="0" fontId="3" fillId="2" borderId="14" xfId="0" applyFont="1" applyFill="1" applyBorder="1" applyAlignment="1">
      <alignment horizontal="center"/>
    </xf>
    <xf numFmtId="0" fontId="3" fillId="2" borderId="14" xfId="3" applyFont="1" applyFill="1" applyBorder="1" applyAlignment="1">
      <alignment horizontal="center"/>
    </xf>
    <xf numFmtId="0" fontId="10" fillId="0" borderId="0" xfId="3" applyFont="1" applyBorder="1" applyAlignment="1">
      <alignment horizontal="justify" wrapText="1"/>
    </xf>
    <xf numFmtId="0" fontId="3" fillId="0" borderId="0" xfId="3" applyFont="1" applyBorder="1" applyAlignment="1">
      <alignment horizontal="justify"/>
    </xf>
    <xf numFmtId="0" fontId="2" fillId="0" borderId="0" xfId="3" applyFont="1" applyBorder="1" applyAlignment="1">
      <alignment horizontal="justify" wrapText="1"/>
    </xf>
    <xf numFmtId="0" fontId="2" fillId="0" borderId="7" xfId="3" applyFont="1" applyBorder="1" applyAlignment="1">
      <alignment horizontal="left" vertical="top" wrapText="1"/>
    </xf>
    <xf numFmtId="0" fontId="3" fillId="0" borderId="0" xfId="3" applyFont="1" applyAlignment="1">
      <alignment horizontal="left" vertical="top" wrapText="1"/>
    </xf>
    <xf numFmtId="0" fontId="2" fillId="0" borderId="0" xfId="3" applyFont="1" applyAlignment="1">
      <alignment horizontal="center" vertical="top" wrapText="1"/>
    </xf>
    <xf numFmtId="0" fontId="2" fillId="0" borderId="0" xfId="3" applyFont="1" applyBorder="1" applyAlignment="1">
      <alignment horizontal="justify" vertical="justify"/>
    </xf>
    <xf numFmtId="0" fontId="2" fillId="0" borderId="0" xfId="3" applyFont="1" applyBorder="1" applyAlignment="1">
      <alignment horizontal="justify" vertical="top" wrapText="1"/>
    </xf>
    <xf numFmtId="0" fontId="3" fillId="0" borderId="0" xfId="0" applyFont="1" applyBorder="1" applyAlignment="1">
      <alignment horizontal="justify"/>
    </xf>
    <xf numFmtId="0" fontId="3" fillId="0" borderId="14" xfId="0" applyFont="1" applyBorder="1" applyAlignment="1">
      <alignment horizontal="center"/>
    </xf>
    <xf numFmtId="0" fontId="3" fillId="0" borderId="13" xfId="0" applyFont="1" applyBorder="1" applyAlignment="1">
      <alignment horizontal="center"/>
    </xf>
    <xf numFmtId="0" fontId="3" fillId="0" borderId="11" xfId="3" applyFont="1" applyBorder="1" applyAlignment="1">
      <alignment horizontal="center"/>
    </xf>
    <xf numFmtId="0" fontId="3" fillId="0" borderId="15" xfId="3" applyFont="1" applyBorder="1" applyAlignment="1">
      <alignment horizontal="center"/>
    </xf>
    <xf numFmtId="0" fontId="3" fillId="0" borderId="13" xfId="3" applyFont="1" applyBorder="1" applyAlignment="1">
      <alignment horizontal="center"/>
    </xf>
    <xf numFmtId="0" fontId="3" fillId="0" borderId="9" xfId="3" applyFont="1" applyBorder="1" applyAlignment="1">
      <alignment horizontal="center"/>
    </xf>
    <xf numFmtId="0" fontId="3" fillId="0" borderId="14" xfId="3" applyFont="1" applyBorder="1" applyAlignment="1">
      <alignment horizontal="center"/>
    </xf>
    <xf numFmtId="0" fontId="10" fillId="0" borderId="0" xfId="3" applyFont="1" applyBorder="1" applyAlignment="1">
      <alignment horizontal="justify"/>
    </xf>
    <xf numFmtId="0" fontId="3" fillId="0" borderId="0" xfId="3" applyFont="1" applyBorder="1" applyAlignment="1">
      <alignment horizontal="left" vertical="top" wrapText="1"/>
    </xf>
    <xf numFmtId="0" fontId="2" fillId="0" borderId="15" xfId="3" applyFont="1" applyFill="1" applyBorder="1" applyAlignment="1">
      <alignment horizontal="justify" wrapText="1"/>
    </xf>
    <xf numFmtId="0" fontId="2" fillId="0" borderId="21" xfId="3" applyFont="1" applyFill="1" applyBorder="1" applyAlignment="1">
      <alignment horizontal="justify" wrapText="1"/>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3" fillId="0" borderId="20" xfId="3" applyFont="1" applyFill="1" applyBorder="1" applyAlignment="1">
      <alignment horizontal="center" vertical="center" wrapText="1"/>
    </xf>
    <xf numFmtId="0" fontId="3" fillId="0" borderId="18" xfId="3" applyFont="1" applyFill="1" applyBorder="1" applyAlignment="1">
      <alignment horizontal="center" vertical="center" wrapText="1"/>
    </xf>
    <xf numFmtId="0" fontId="3" fillId="0" borderId="23" xfId="3"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18" xfId="0" applyFont="1" applyFill="1" applyBorder="1" applyAlignment="1">
      <alignment horizontal="center" vertical="center"/>
    </xf>
    <xf numFmtId="0" fontId="2" fillId="0" borderId="15" xfId="3" applyFont="1" applyBorder="1" applyAlignment="1">
      <alignment horizontal="justify" vertical="center" wrapText="1"/>
    </xf>
    <xf numFmtId="0" fontId="2" fillId="0" borderId="16" xfId="3" applyFont="1" applyBorder="1" applyAlignment="1">
      <alignment horizontal="center" vertical="center"/>
    </xf>
    <xf numFmtId="0" fontId="3" fillId="0" borderId="11" xfId="3" applyFont="1" applyFill="1" applyBorder="1" applyAlignment="1">
      <alignment horizontal="center"/>
    </xf>
    <xf numFmtId="0" fontId="3" fillId="0" borderId="15" xfId="3" applyFont="1" applyFill="1" applyBorder="1" applyAlignment="1">
      <alignment horizontal="center"/>
    </xf>
    <xf numFmtId="0" fontId="3" fillId="0" borderId="20" xfId="3" applyFont="1" applyFill="1" applyBorder="1" applyAlignment="1">
      <alignment horizontal="center" vertical="center"/>
    </xf>
    <xf numFmtId="0" fontId="3" fillId="0" borderId="18" xfId="3" applyFont="1" applyFill="1" applyBorder="1" applyAlignment="1">
      <alignment horizontal="center" vertical="center"/>
    </xf>
    <xf numFmtId="0" fontId="3" fillId="0" borderId="23" xfId="3" applyFont="1" applyFill="1" applyBorder="1" applyAlignment="1">
      <alignment horizontal="center" vertical="center"/>
    </xf>
    <xf numFmtId="0" fontId="3" fillId="0" borderId="14" xfId="3" applyFont="1" applyFill="1" applyBorder="1" applyAlignment="1">
      <alignment horizontal="center" vertical="center" wrapText="1"/>
    </xf>
    <xf numFmtId="0" fontId="3" fillId="0" borderId="17" xfId="3" applyFont="1" applyFill="1" applyBorder="1" applyAlignment="1">
      <alignment horizontal="center" wrapText="1"/>
    </xf>
    <xf numFmtId="0" fontId="3" fillId="0" borderId="9" xfId="3" applyFont="1" applyFill="1" applyBorder="1" applyAlignment="1">
      <alignment horizontal="center" wrapText="1"/>
    </xf>
    <xf numFmtId="3" fontId="3" fillId="0" borderId="21" xfId="3" applyNumberFormat="1" applyFont="1" applyBorder="1" applyAlignment="1">
      <alignment horizontal="center" vertical="center"/>
    </xf>
    <xf numFmtId="3" fontId="3" fillId="0" borderId="19" xfId="3" applyNumberFormat="1" applyFont="1" applyBorder="1" applyAlignment="1">
      <alignment horizontal="center" vertical="center"/>
    </xf>
    <xf numFmtId="0" fontId="3" fillId="0" borderId="11" xfId="0" applyFont="1" applyBorder="1" applyAlignment="1">
      <alignment horizontal="center"/>
    </xf>
    <xf numFmtId="0" fontId="3" fillId="0" borderId="12" xfId="0" applyFont="1" applyBorder="1" applyAlignment="1">
      <alignment horizontal="center"/>
    </xf>
    <xf numFmtId="3" fontId="2" fillId="0" borderId="11" xfId="3" applyNumberFormat="1" applyFont="1" applyBorder="1" applyAlignment="1">
      <alignment horizontal="center" vertical="center"/>
    </xf>
    <xf numFmtId="3" fontId="2" fillId="0" borderId="12" xfId="3" applyNumberFormat="1" applyFont="1" applyBorder="1" applyAlignment="1">
      <alignment horizontal="center" vertical="center"/>
    </xf>
    <xf numFmtId="3" fontId="2" fillId="0" borderId="15" xfId="3" applyNumberFormat="1" applyFont="1" applyBorder="1" applyAlignment="1">
      <alignment horizontal="center" vertical="center"/>
    </xf>
    <xf numFmtId="3" fontId="2" fillId="0" borderId="16" xfId="3" applyNumberFormat="1" applyFont="1" applyBorder="1" applyAlignment="1">
      <alignment horizontal="center" vertical="center"/>
    </xf>
    <xf numFmtId="169" fontId="2" fillId="0" borderId="15" xfId="3" applyNumberFormat="1" applyFont="1" applyBorder="1" applyAlignment="1">
      <alignment horizontal="center"/>
    </xf>
    <xf numFmtId="169" fontId="2" fillId="0" borderId="16" xfId="3" applyNumberFormat="1" applyFont="1" applyBorder="1" applyAlignment="1">
      <alignment horizontal="center"/>
    </xf>
    <xf numFmtId="169" fontId="2" fillId="0" borderId="15" xfId="3" applyNumberFormat="1" applyFont="1" applyBorder="1" applyAlignment="1">
      <alignment horizontal="center" vertical="center"/>
    </xf>
    <xf numFmtId="169" fontId="2" fillId="0" borderId="16" xfId="3" applyNumberFormat="1" applyFont="1" applyBorder="1" applyAlignment="1">
      <alignment horizontal="center" vertical="center"/>
    </xf>
    <xf numFmtId="169" fontId="2" fillId="0" borderId="21" xfId="3" applyNumberFormat="1" applyFont="1" applyBorder="1" applyAlignment="1">
      <alignment horizontal="center" vertical="center"/>
    </xf>
    <xf numFmtId="169" fontId="2" fillId="0" borderId="19" xfId="3" applyNumberFormat="1" applyFont="1" applyBorder="1" applyAlignment="1">
      <alignment horizontal="center" vertical="center"/>
    </xf>
    <xf numFmtId="0" fontId="2" fillId="0" borderId="0" xfId="3" applyBorder="1"/>
  </cellXfs>
  <cellStyles count="4">
    <cellStyle name="Millares" xfId="1" builtinId="3"/>
    <cellStyle name="Normal" xfId="0" builtinId="0"/>
    <cellStyle name="Normal 3"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7"/>
  <sheetViews>
    <sheetView showGridLines="0" zoomScale="80" zoomScaleNormal="80" workbookViewId="0">
      <selection activeCell="C3" sqref="C3:C5"/>
    </sheetView>
  </sheetViews>
  <sheetFormatPr baseColWidth="10" defaultColWidth="11.42578125" defaultRowHeight="12.75" x14ac:dyDescent="0.2"/>
  <cols>
    <col min="1" max="1" width="11.42578125" style="32"/>
    <col min="2" max="2" width="5.85546875" style="32" customWidth="1"/>
    <col min="3" max="3" width="3.5703125" style="134" bestFit="1" customWidth="1"/>
    <col min="4" max="4" width="3.85546875" style="32" customWidth="1"/>
    <col min="5" max="5" width="52.42578125" style="32" bestFit="1" customWidth="1"/>
    <col min="6" max="6" width="9.85546875" style="32" bestFit="1" customWidth="1"/>
    <col min="7" max="7" width="14.42578125" style="32" customWidth="1"/>
    <col min="8" max="8" width="14" style="32" bestFit="1" customWidth="1"/>
    <col min="9" max="9" width="11.42578125" style="32"/>
    <col min="10" max="10" width="11.28515625" style="119" bestFit="1" customWidth="1"/>
    <col min="11" max="12" width="12.28515625" style="119" bestFit="1" customWidth="1"/>
    <col min="13" max="13" width="15.140625" style="32" bestFit="1" customWidth="1"/>
    <col min="14" max="16384" width="11.42578125" style="32"/>
  </cols>
  <sheetData>
    <row r="1" spans="2:10" ht="13.5" thickBot="1" x14ac:dyDescent="0.25"/>
    <row r="2" spans="2:10" ht="13.5" thickBot="1" x14ac:dyDescent="0.25">
      <c r="B2" s="135"/>
      <c r="C2" s="1"/>
      <c r="D2" s="136"/>
      <c r="E2" s="136"/>
      <c r="F2" s="136"/>
      <c r="G2" s="136"/>
      <c r="H2" s="136"/>
      <c r="I2" s="136"/>
      <c r="J2" s="137"/>
    </row>
    <row r="3" spans="2:10" x14ac:dyDescent="0.2">
      <c r="B3" s="138"/>
      <c r="C3" s="1" t="s">
        <v>234</v>
      </c>
      <c r="D3" s="7"/>
      <c r="E3" s="7"/>
      <c r="F3" s="7"/>
      <c r="G3" s="7"/>
      <c r="H3" s="7"/>
      <c r="I3" s="7"/>
      <c r="J3" s="139"/>
    </row>
    <row r="4" spans="2:10" x14ac:dyDescent="0.2">
      <c r="B4" s="138"/>
      <c r="C4" s="394" t="s">
        <v>235</v>
      </c>
      <c r="D4" s="7"/>
      <c r="E4" s="7"/>
      <c r="F4" s="7"/>
      <c r="G4" s="7"/>
      <c r="H4" s="7"/>
      <c r="I4" s="7"/>
      <c r="J4" s="139"/>
    </row>
    <row r="5" spans="2:10" x14ac:dyDescent="0.2">
      <c r="B5" s="138"/>
      <c r="C5" s="394" t="s">
        <v>236</v>
      </c>
      <c r="D5" s="7"/>
      <c r="E5" s="7"/>
      <c r="F5" s="7"/>
      <c r="G5" s="7"/>
      <c r="H5" s="7"/>
      <c r="I5" s="7"/>
      <c r="J5" s="139"/>
    </row>
    <row r="6" spans="2:10" x14ac:dyDescent="0.2">
      <c r="B6" s="138"/>
      <c r="C6" s="7"/>
      <c r="D6" s="7"/>
      <c r="E6" s="7"/>
      <c r="F6" s="7"/>
      <c r="G6" s="7"/>
      <c r="H6" s="7"/>
      <c r="I6" s="7"/>
      <c r="J6" s="139"/>
    </row>
    <row r="7" spans="2:10" ht="21" customHeight="1" x14ac:dyDescent="0.2">
      <c r="B7" s="138"/>
      <c r="C7" s="343" t="s">
        <v>196</v>
      </c>
      <c r="D7" s="343"/>
      <c r="E7" s="343"/>
      <c r="F7" s="343"/>
      <c r="G7" s="343"/>
      <c r="H7" s="343"/>
      <c r="I7" s="343"/>
      <c r="J7" s="139"/>
    </row>
    <row r="8" spans="2:10" ht="12.75" customHeight="1" x14ac:dyDescent="0.2">
      <c r="B8" s="138"/>
      <c r="C8" s="343"/>
      <c r="D8" s="343"/>
      <c r="E8" s="343"/>
      <c r="F8" s="343"/>
      <c r="G8" s="343"/>
      <c r="H8" s="343"/>
      <c r="I8" s="343"/>
      <c r="J8" s="139"/>
    </row>
    <row r="9" spans="2:10" x14ac:dyDescent="0.2">
      <c r="B9" s="138"/>
      <c r="C9" s="343"/>
      <c r="D9" s="343"/>
      <c r="E9" s="343"/>
      <c r="F9" s="343"/>
      <c r="G9" s="343"/>
      <c r="H9" s="343"/>
      <c r="I9" s="343"/>
      <c r="J9" s="139"/>
    </row>
    <row r="10" spans="2:10" x14ac:dyDescent="0.2">
      <c r="B10" s="138"/>
      <c r="C10" s="140"/>
      <c r="D10" s="7"/>
      <c r="E10" s="7"/>
      <c r="F10" s="7"/>
      <c r="G10" s="7"/>
      <c r="H10" s="7"/>
      <c r="I10" s="7"/>
      <c r="J10" s="139"/>
    </row>
    <row r="11" spans="2:10" ht="12.75" customHeight="1" x14ac:dyDescent="0.2">
      <c r="B11" s="138"/>
      <c r="C11" s="349" t="s">
        <v>197</v>
      </c>
      <c r="D11" s="349"/>
      <c r="E11" s="349"/>
      <c r="F11" s="349"/>
      <c r="G11" s="349"/>
      <c r="H11" s="349"/>
      <c r="I11" s="349"/>
      <c r="J11" s="139"/>
    </row>
    <row r="12" spans="2:10" x14ac:dyDescent="0.2">
      <c r="B12" s="138"/>
      <c r="C12" s="349"/>
      <c r="D12" s="349"/>
      <c r="E12" s="349"/>
      <c r="F12" s="349"/>
      <c r="G12" s="349"/>
      <c r="H12" s="349"/>
      <c r="I12" s="349"/>
      <c r="J12" s="139"/>
    </row>
    <row r="13" spans="2:10" x14ac:dyDescent="0.2">
      <c r="B13" s="138"/>
      <c r="C13" s="349"/>
      <c r="D13" s="349"/>
      <c r="E13" s="349"/>
      <c r="F13" s="349"/>
      <c r="G13" s="349"/>
      <c r="H13" s="349"/>
      <c r="I13" s="349"/>
      <c r="J13" s="139"/>
    </row>
    <row r="14" spans="2:10" x14ac:dyDescent="0.2">
      <c r="B14" s="138"/>
      <c r="C14" s="140"/>
      <c r="D14" s="193"/>
      <c r="E14" s="193"/>
      <c r="F14" s="193"/>
      <c r="G14" s="193"/>
      <c r="H14" s="193"/>
      <c r="I14" s="193"/>
      <c r="J14" s="139"/>
    </row>
    <row r="15" spans="2:10" x14ac:dyDescent="0.2">
      <c r="B15" s="138"/>
      <c r="C15" s="140" t="s">
        <v>0</v>
      </c>
      <c r="D15" s="350" t="s">
        <v>174</v>
      </c>
      <c r="E15" s="350"/>
      <c r="F15" s="350"/>
      <c r="G15" s="350"/>
      <c r="H15" s="350"/>
      <c r="I15" s="350"/>
      <c r="J15" s="139"/>
    </row>
    <row r="16" spans="2:10" x14ac:dyDescent="0.2">
      <c r="B16" s="138"/>
      <c r="C16" s="140"/>
      <c r="D16" s="350"/>
      <c r="E16" s="350"/>
      <c r="F16" s="350"/>
      <c r="G16" s="350"/>
      <c r="H16" s="350"/>
      <c r="I16" s="350"/>
      <c r="J16" s="139"/>
    </row>
    <row r="17" spans="2:13" x14ac:dyDescent="0.2">
      <c r="B17" s="138"/>
      <c r="C17" s="140"/>
      <c r="D17" s="197"/>
      <c r="E17" s="197"/>
      <c r="F17" s="197"/>
      <c r="G17" s="197"/>
      <c r="H17" s="197"/>
      <c r="I17" s="197"/>
      <c r="J17" s="139"/>
    </row>
    <row r="18" spans="2:13" x14ac:dyDescent="0.2">
      <c r="B18" s="138"/>
      <c r="C18" s="140" t="s">
        <v>1</v>
      </c>
      <c r="D18" s="32" t="s">
        <v>173</v>
      </c>
      <c r="E18" s="197"/>
      <c r="F18" s="197"/>
      <c r="G18" s="197"/>
      <c r="H18" s="197"/>
      <c r="I18" s="7"/>
      <c r="J18" s="139"/>
    </row>
    <row r="19" spans="2:13" x14ac:dyDescent="0.2">
      <c r="B19" s="138"/>
      <c r="C19" s="140"/>
      <c r="D19" s="7"/>
      <c r="E19" s="197"/>
      <c r="F19" s="197"/>
      <c r="G19" s="197"/>
      <c r="H19" s="197"/>
      <c r="I19" s="7"/>
      <c r="J19" s="139"/>
    </row>
    <row r="20" spans="2:13" x14ac:dyDescent="0.2">
      <c r="B20" s="138"/>
      <c r="C20" s="140" t="s">
        <v>2</v>
      </c>
      <c r="D20" s="345" t="s">
        <v>175</v>
      </c>
      <c r="E20" s="345"/>
      <c r="F20" s="345"/>
      <c r="G20" s="345"/>
      <c r="H20" s="345"/>
      <c r="I20" s="345"/>
      <c r="J20" s="139"/>
      <c r="M20" s="32">
        <v>100</v>
      </c>
    </row>
    <row r="21" spans="2:13" x14ac:dyDescent="0.2">
      <c r="B21" s="138"/>
      <c r="C21" s="7"/>
      <c r="D21" s="345"/>
      <c r="E21" s="345"/>
      <c r="F21" s="345"/>
      <c r="G21" s="345"/>
      <c r="H21" s="345"/>
      <c r="I21" s="345"/>
      <c r="J21" s="139"/>
      <c r="M21" s="32">
        <v>25</v>
      </c>
    </row>
    <row r="22" spans="2:13" x14ac:dyDescent="0.2">
      <c r="B22" s="138"/>
      <c r="C22" s="140"/>
      <c r="D22" s="7"/>
      <c r="E22" s="197"/>
      <c r="F22" s="197"/>
      <c r="G22" s="197"/>
      <c r="H22" s="197"/>
      <c r="I22" s="7"/>
      <c r="J22" s="139"/>
      <c r="M22" s="32">
        <f>+M20-M21</f>
        <v>75</v>
      </c>
    </row>
    <row r="23" spans="2:13" ht="12.75" customHeight="1" x14ac:dyDescent="0.2">
      <c r="B23" s="138"/>
      <c r="C23" s="140" t="s">
        <v>3</v>
      </c>
      <c r="D23" s="345" t="s">
        <v>199</v>
      </c>
      <c r="E23" s="345"/>
      <c r="F23" s="345"/>
      <c r="G23" s="345"/>
      <c r="H23" s="345"/>
      <c r="I23" s="345"/>
      <c r="J23" s="139"/>
      <c r="M23" s="32">
        <f>+M21/M22</f>
        <v>0.33333333333333331</v>
      </c>
    </row>
    <row r="24" spans="2:13" x14ac:dyDescent="0.2">
      <c r="B24" s="138"/>
      <c r="C24" s="140"/>
      <c r="D24" s="345"/>
      <c r="E24" s="345"/>
      <c r="F24" s="345"/>
      <c r="G24" s="345"/>
      <c r="H24" s="345"/>
      <c r="I24" s="345"/>
      <c r="J24" s="139"/>
    </row>
    <row r="25" spans="2:13" x14ac:dyDescent="0.2">
      <c r="B25" s="138"/>
      <c r="C25" s="140"/>
      <c r="D25" s="345"/>
      <c r="E25" s="345"/>
      <c r="F25" s="345"/>
      <c r="G25" s="345"/>
      <c r="H25" s="345"/>
      <c r="I25" s="345"/>
      <c r="J25" s="139"/>
    </row>
    <row r="26" spans="2:13" x14ac:dyDescent="0.2">
      <c r="B26" s="138"/>
      <c r="C26" s="7"/>
      <c r="D26" s="345"/>
      <c r="E26" s="345"/>
      <c r="F26" s="345"/>
      <c r="G26" s="345"/>
      <c r="H26" s="345"/>
      <c r="I26" s="345"/>
      <c r="J26" s="139"/>
    </row>
    <row r="27" spans="2:13" x14ac:dyDescent="0.2">
      <c r="B27" s="138"/>
      <c r="C27" s="140"/>
      <c r="D27" s="7"/>
      <c r="E27" s="197"/>
      <c r="F27" s="197"/>
      <c r="G27" s="197"/>
      <c r="H27" s="197"/>
      <c r="I27" s="7"/>
      <c r="J27" s="139"/>
    </row>
    <row r="28" spans="2:13" x14ac:dyDescent="0.2">
      <c r="B28" s="138"/>
      <c r="C28" s="140" t="s">
        <v>4</v>
      </c>
      <c r="D28" s="7" t="s">
        <v>198</v>
      </c>
      <c r="E28" s="197"/>
      <c r="F28" s="197"/>
      <c r="G28" s="197"/>
      <c r="H28" s="197"/>
      <c r="I28" s="7"/>
      <c r="J28" s="139"/>
    </row>
    <row r="29" spans="2:13" x14ac:dyDescent="0.2">
      <c r="B29" s="138"/>
      <c r="C29" s="140"/>
      <c r="D29" s="4" t="s">
        <v>171</v>
      </c>
      <c r="E29" s="197"/>
      <c r="F29" s="197"/>
      <c r="G29" s="197"/>
      <c r="H29" s="197"/>
      <c r="I29" s="7"/>
      <c r="J29" s="139"/>
    </row>
    <row r="30" spans="2:13" x14ac:dyDescent="0.2">
      <c r="B30" s="138"/>
      <c r="C30" s="140"/>
      <c r="D30" s="4" t="s">
        <v>172</v>
      </c>
      <c r="E30" s="197"/>
      <c r="F30" s="197"/>
      <c r="G30" s="197"/>
      <c r="H30" s="197"/>
      <c r="I30" s="7"/>
      <c r="J30" s="139"/>
    </row>
    <row r="31" spans="2:13" x14ac:dyDescent="0.2">
      <c r="B31" s="138"/>
      <c r="C31" s="140"/>
      <c r="D31" s="4"/>
      <c r="E31" s="197"/>
      <c r="F31" s="197"/>
      <c r="G31" s="197"/>
      <c r="H31" s="197"/>
      <c r="I31" s="7"/>
      <c r="J31" s="139"/>
    </row>
    <row r="32" spans="2:13" ht="12.75" customHeight="1" x14ac:dyDescent="0.2">
      <c r="B32" s="138"/>
      <c r="C32" s="140" t="s">
        <v>5</v>
      </c>
      <c r="D32" s="345" t="s">
        <v>200</v>
      </c>
      <c r="E32" s="345"/>
      <c r="F32" s="345"/>
      <c r="G32" s="345"/>
      <c r="H32" s="345"/>
      <c r="I32" s="345"/>
      <c r="J32" s="139"/>
    </row>
    <row r="33" spans="2:12" x14ac:dyDescent="0.2">
      <c r="B33" s="138"/>
      <c r="C33" s="140"/>
      <c r="D33" s="345"/>
      <c r="E33" s="345"/>
      <c r="F33" s="345"/>
      <c r="G33" s="345"/>
      <c r="H33" s="345"/>
      <c r="I33" s="345"/>
      <c r="J33" s="139"/>
    </row>
    <row r="34" spans="2:12" x14ac:dyDescent="0.2">
      <c r="B34" s="138"/>
      <c r="C34" s="140"/>
      <c r="D34" s="345"/>
      <c r="E34" s="345"/>
      <c r="F34" s="345"/>
      <c r="G34" s="345"/>
      <c r="H34" s="345"/>
      <c r="I34" s="345"/>
      <c r="J34" s="139"/>
    </row>
    <row r="35" spans="2:12" x14ac:dyDescent="0.2">
      <c r="B35" s="138"/>
      <c r="C35" s="7"/>
      <c r="D35" s="7"/>
      <c r="E35" s="197"/>
      <c r="F35" s="197"/>
      <c r="G35" s="197"/>
      <c r="H35" s="197"/>
      <c r="I35" s="7"/>
      <c r="J35" s="139"/>
    </row>
    <row r="36" spans="2:12" x14ac:dyDescent="0.2">
      <c r="B36" s="138"/>
      <c r="C36" s="7"/>
      <c r="D36" s="5" t="s">
        <v>66</v>
      </c>
      <c r="E36" s="197"/>
      <c r="F36" s="197"/>
      <c r="G36" s="197"/>
      <c r="H36" s="197"/>
      <c r="I36" s="7"/>
      <c r="J36" s="139"/>
    </row>
    <row r="37" spans="2:12" x14ac:dyDescent="0.2">
      <c r="B37" s="138"/>
      <c r="C37" s="7"/>
      <c r="D37" s="5"/>
      <c r="E37" s="197"/>
      <c r="G37" s="79" t="s">
        <v>67</v>
      </c>
      <c r="H37" s="197"/>
      <c r="I37" s="7"/>
      <c r="J37" s="139"/>
    </row>
    <row r="38" spans="2:12" x14ac:dyDescent="0.2">
      <c r="B38" s="138"/>
      <c r="C38" s="7"/>
      <c r="D38" s="141" t="s">
        <v>127</v>
      </c>
      <c r="G38" s="15">
        <v>1250000</v>
      </c>
      <c r="H38" s="197"/>
      <c r="I38" s="7"/>
      <c r="J38" s="139"/>
    </row>
    <row r="39" spans="2:12" x14ac:dyDescent="0.2">
      <c r="B39" s="138"/>
      <c r="C39" s="7"/>
      <c r="D39" s="141" t="s">
        <v>201</v>
      </c>
      <c r="G39" s="15">
        <f>+G38*0.333333</f>
        <v>416666.25</v>
      </c>
      <c r="H39" s="265"/>
      <c r="I39" s="7"/>
      <c r="J39" s="139"/>
    </row>
    <row r="40" spans="2:12" x14ac:dyDescent="0.2">
      <c r="B40" s="138"/>
      <c r="C40" s="7"/>
      <c r="D40" s="141"/>
      <c r="F40" s="15"/>
      <c r="G40" s="197"/>
      <c r="H40" s="197"/>
      <c r="I40" s="7"/>
      <c r="J40" s="139"/>
    </row>
    <row r="41" spans="2:12" x14ac:dyDescent="0.2">
      <c r="B41" s="138"/>
      <c r="C41" s="7"/>
      <c r="D41" s="141" t="s">
        <v>122</v>
      </c>
      <c r="G41" s="214">
        <f>ROUND(G38*1.333333,0)</f>
        <v>1666666</v>
      </c>
      <c r="H41" s="79">
        <v>1.0289999999999999</v>
      </c>
      <c r="I41" s="214">
        <f>+G41*H41</f>
        <v>1714999.3139999998</v>
      </c>
      <c r="J41" s="139"/>
    </row>
    <row r="42" spans="2:12" x14ac:dyDescent="0.2">
      <c r="B42" s="138"/>
      <c r="C42" s="7"/>
      <c r="D42" s="7"/>
      <c r="E42" s="197"/>
      <c r="F42" s="15"/>
      <c r="G42" s="197"/>
      <c r="H42" s="15"/>
      <c r="I42" s="7"/>
      <c r="J42" s="139"/>
    </row>
    <row r="43" spans="2:12" x14ac:dyDescent="0.2">
      <c r="B43" s="138"/>
      <c r="C43" s="7"/>
      <c r="D43" s="7"/>
      <c r="E43" s="197"/>
      <c r="F43" s="80"/>
      <c r="G43" s="197"/>
      <c r="H43" s="197"/>
      <c r="I43" s="7"/>
      <c r="J43" s="139"/>
    </row>
    <row r="44" spans="2:12" x14ac:dyDescent="0.2">
      <c r="B44" s="138"/>
      <c r="C44" s="140"/>
      <c r="D44" s="5" t="s">
        <v>6</v>
      </c>
      <c r="E44" s="197"/>
      <c r="F44" s="197"/>
      <c r="G44" s="197"/>
      <c r="H44" s="197"/>
      <c r="I44" s="7"/>
      <c r="J44" s="139"/>
    </row>
    <row r="45" spans="2:12" x14ac:dyDescent="0.2">
      <c r="B45" s="138"/>
      <c r="C45" s="140"/>
      <c r="D45" s="5"/>
      <c r="E45" s="197"/>
      <c r="F45" s="197"/>
      <c r="G45" s="197"/>
      <c r="H45" s="197"/>
      <c r="I45" s="7"/>
      <c r="J45" s="139"/>
    </row>
    <row r="46" spans="2:12" x14ac:dyDescent="0.2">
      <c r="B46" s="138"/>
      <c r="C46" s="140"/>
      <c r="D46" s="6" t="s">
        <v>7</v>
      </c>
      <c r="E46" s="4" t="s">
        <v>56</v>
      </c>
      <c r="F46" s="7"/>
      <c r="G46" s="15">
        <v>6000000</v>
      </c>
      <c r="H46" s="7"/>
      <c r="I46" s="7"/>
      <c r="J46" s="139"/>
      <c r="K46" s="3"/>
      <c r="L46" s="3"/>
    </row>
    <row r="47" spans="2:12" x14ac:dyDescent="0.2">
      <c r="B47" s="138"/>
      <c r="C47" s="140"/>
      <c r="D47" s="6"/>
      <c r="E47" s="7"/>
      <c r="F47" s="7"/>
      <c r="G47" s="7"/>
      <c r="H47" s="15"/>
      <c r="I47" s="7"/>
      <c r="J47" s="139"/>
      <c r="K47" s="3"/>
      <c r="L47" s="3"/>
    </row>
    <row r="48" spans="2:12" ht="15" x14ac:dyDescent="0.25">
      <c r="B48" s="138"/>
      <c r="C48" s="140"/>
      <c r="D48" s="6" t="s">
        <v>8</v>
      </c>
      <c r="E48" s="8" t="s">
        <v>114</v>
      </c>
      <c r="F48" s="7"/>
      <c r="G48" s="7"/>
      <c r="H48" s="7"/>
      <c r="I48" s="30"/>
      <c r="J48" s="147"/>
    </row>
    <row r="49" spans="1:14" x14ac:dyDescent="0.2">
      <c r="B49" s="138"/>
      <c r="C49" s="140"/>
      <c r="D49" s="6"/>
      <c r="E49" s="7" t="s">
        <v>9</v>
      </c>
      <c r="F49" s="7"/>
      <c r="G49" s="15">
        <v>450000</v>
      </c>
      <c r="H49" s="7"/>
      <c r="I49" s="7"/>
      <c r="J49" s="139"/>
    </row>
    <row r="50" spans="1:14" x14ac:dyDescent="0.2">
      <c r="B50" s="138"/>
      <c r="C50" s="140"/>
      <c r="D50" s="6"/>
      <c r="E50" s="7" t="s">
        <v>10</v>
      </c>
      <c r="F50" s="7"/>
      <c r="G50" s="15">
        <v>5000000</v>
      </c>
      <c r="H50" s="7"/>
      <c r="I50" s="7"/>
      <c r="J50" s="139"/>
    </row>
    <row r="51" spans="1:14" x14ac:dyDescent="0.2">
      <c r="B51" s="138"/>
      <c r="C51" s="140"/>
      <c r="D51" s="6"/>
      <c r="E51" s="7" t="s">
        <v>176</v>
      </c>
      <c r="F51" s="7"/>
      <c r="G51" s="15">
        <v>1250000</v>
      </c>
      <c r="H51" s="7"/>
      <c r="I51" s="7"/>
      <c r="J51" s="139"/>
    </row>
    <row r="52" spans="1:14" x14ac:dyDescent="0.2">
      <c r="B52" s="138"/>
      <c r="C52" s="140"/>
      <c r="D52" s="6"/>
      <c r="E52" s="7" t="s">
        <v>11</v>
      </c>
      <c r="F52" s="7"/>
      <c r="G52" s="15">
        <v>150000</v>
      </c>
      <c r="H52" s="7"/>
      <c r="I52" s="7"/>
      <c r="J52" s="139"/>
    </row>
    <row r="53" spans="1:14" x14ac:dyDescent="0.2">
      <c r="B53" s="138"/>
      <c r="C53" s="140"/>
      <c r="D53" s="6"/>
      <c r="E53" s="7"/>
      <c r="F53" s="7"/>
      <c r="G53" s="15"/>
      <c r="H53" s="7"/>
      <c r="I53" s="7"/>
      <c r="J53" s="139"/>
    </row>
    <row r="54" spans="1:14" ht="15" x14ac:dyDescent="0.25">
      <c r="B54" s="138"/>
      <c r="C54" s="140"/>
      <c r="D54" s="6" t="s">
        <v>12</v>
      </c>
      <c r="E54" s="8" t="s">
        <v>169</v>
      </c>
      <c r="F54" s="7"/>
      <c r="G54" s="15"/>
      <c r="H54" s="7"/>
      <c r="I54" s="7"/>
      <c r="J54" s="139"/>
    </row>
    <row r="55" spans="1:14" x14ac:dyDescent="0.2">
      <c r="B55" s="138"/>
      <c r="C55" s="140"/>
      <c r="D55" s="6"/>
      <c r="E55" s="9" t="s">
        <v>13</v>
      </c>
      <c r="F55" s="7"/>
      <c r="G55" s="19">
        <f>+'Desarrollo Ejercicio n°11 A'!E20</f>
        <v>-837230</v>
      </c>
      <c r="H55" s="7"/>
      <c r="I55" s="7"/>
      <c r="J55" s="139"/>
    </row>
    <row r="56" spans="1:14" x14ac:dyDescent="0.2">
      <c r="B56" s="138"/>
      <c r="C56" s="140"/>
      <c r="D56" s="6"/>
      <c r="E56" s="9" t="s">
        <v>14</v>
      </c>
      <c r="F56" s="7"/>
      <c r="G56" s="19">
        <v>-2900000</v>
      </c>
      <c r="H56" s="7"/>
      <c r="I56" s="7"/>
      <c r="J56" s="139"/>
    </row>
    <row r="57" spans="1:14" x14ac:dyDescent="0.2">
      <c r="B57" s="138"/>
      <c r="C57" s="140"/>
      <c r="D57" s="6"/>
      <c r="E57" s="9"/>
      <c r="F57" s="7"/>
      <c r="G57" s="19"/>
      <c r="H57" s="7"/>
      <c r="I57" s="7"/>
      <c r="J57" s="139"/>
    </row>
    <row r="58" spans="1:14" s="119" customFormat="1" x14ac:dyDescent="0.2">
      <c r="A58" s="32"/>
      <c r="B58" s="138"/>
      <c r="C58" s="140"/>
      <c r="D58" s="32"/>
      <c r="E58" s="8" t="s">
        <v>15</v>
      </c>
      <c r="F58" s="7"/>
      <c r="G58" s="19"/>
      <c r="H58" s="7"/>
      <c r="I58" s="7"/>
      <c r="J58" s="139"/>
      <c r="M58" s="32"/>
      <c r="N58" s="32"/>
    </row>
    <row r="59" spans="1:14" s="119" customFormat="1" x14ac:dyDescent="0.2">
      <c r="A59" s="32"/>
      <c r="B59" s="138"/>
      <c r="C59" s="140"/>
      <c r="D59" s="6"/>
      <c r="E59" s="9" t="s">
        <v>193</v>
      </c>
      <c r="F59" s="7"/>
      <c r="G59" s="19"/>
      <c r="H59" s="7"/>
      <c r="I59" s="7"/>
      <c r="J59" s="139"/>
      <c r="M59" s="32"/>
      <c r="N59" s="32"/>
    </row>
    <row r="60" spans="1:14" s="119" customFormat="1" x14ac:dyDescent="0.2">
      <c r="A60" s="32"/>
      <c r="B60" s="138"/>
      <c r="C60" s="140"/>
      <c r="D60" s="6"/>
      <c r="E60" s="9"/>
      <c r="F60" s="7"/>
      <c r="G60" s="19"/>
      <c r="H60" s="7"/>
      <c r="I60" s="7"/>
      <c r="J60" s="139"/>
      <c r="M60" s="32"/>
      <c r="N60" s="32"/>
    </row>
    <row r="61" spans="1:14" s="119" customFormat="1" x14ac:dyDescent="0.2">
      <c r="A61" s="32"/>
      <c r="B61" s="138"/>
      <c r="C61" s="8" t="s">
        <v>16</v>
      </c>
      <c r="D61" s="6"/>
      <c r="E61" s="8"/>
      <c r="F61" s="4"/>
      <c r="G61" s="10"/>
      <c r="H61" s="10"/>
      <c r="I61" s="7"/>
      <c r="J61" s="139"/>
      <c r="M61" s="32"/>
      <c r="N61" s="32"/>
    </row>
    <row r="62" spans="1:14" s="119" customFormat="1" x14ac:dyDescent="0.2">
      <c r="A62" s="32"/>
      <c r="B62" s="138"/>
      <c r="C62" s="148" t="s">
        <v>17</v>
      </c>
      <c r="D62" s="344" t="s">
        <v>70</v>
      </c>
      <c r="E62" s="344"/>
      <c r="F62" s="344"/>
      <c r="G62" s="344"/>
      <c r="H62" s="344"/>
      <c r="I62" s="344"/>
      <c r="J62" s="139"/>
      <c r="M62" s="32"/>
      <c r="N62" s="32"/>
    </row>
    <row r="63" spans="1:14" s="119" customFormat="1" x14ac:dyDescent="0.2">
      <c r="A63" s="32"/>
      <c r="B63" s="138"/>
      <c r="C63" s="140"/>
      <c r="D63" s="344"/>
      <c r="E63" s="344"/>
      <c r="F63" s="344"/>
      <c r="G63" s="344"/>
      <c r="H63" s="344"/>
      <c r="I63" s="344"/>
      <c r="J63" s="139"/>
      <c r="M63" s="32"/>
      <c r="N63" s="32"/>
    </row>
    <row r="64" spans="1:14" s="119" customFormat="1" x14ac:dyDescent="0.2">
      <c r="A64" s="32"/>
      <c r="B64" s="138"/>
      <c r="C64" s="140"/>
      <c r="D64" s="255"/>
      <c r="E64" s="255"/>
      <c r="F64" s="255"/>
      <c r="G64" s="255"/>
      <c r="H64" s="255"/>
      <c r="I64" s="255"/>
      <c r="J64" s="139"/>
      <c r="M64" s="32"/>
      <c r="N64" s="32"/>
    </row>
    <row r="65" spans="1:14" s="119" customFormat="1" x14ac:dyDescent="0.2">
      <c r="A65" s="32"/>
      <c r="B65" s="138"/>
      <c r="C65" s="148" t="s">
        <v>18</v>
      </c>
      <c r="D65" s="8" t="s">
        <v>19</v>
      </c>
      <c r="E65" s="8"/>
      <c r="F65" s="4"/>
      <c r="G65" s="10"/>
      <c r="H65" s="10"/>
      <c r="I65" s="7"/>
      <c r="J65" s="139"/>
      <c r="M65" s="32"/>
      <c r="N65" s="32"/>
    </row>
    <row r="66" spans="1:14" s="119" customFormat="1" x14ac:dyDescent="0.2">
      <c r="A66" s="32"/>
      <c r="B66" s="138"/>
      <c r="C66" s="140"/>
      <c r="D66" s="6"/>
      <c r="E66" s="9"/>
      <c r="F66" s="7"/>
      <c r="G66" s="15"/>
      <c r="H66" s="7"/>
      <c r="I66" s="7"/>
      <c r="J66" s="139"/>
      <c r="M66" s="32"/>
      <c r="N66" s="32"/>
    </row>
    <row r="67" spans="1:14" s="119" customFormat="1" x14ac:dyDescent="0.2">
      <c r="A67" s="32"/>
      <c r="B67" s="138"/>
      <c r="C67" s="148" t="s">
        <v>20</v>
      </c>
      <c r="D67" s="8" t="s">
        <v>195</v>
      </c>
      <c r="E67" s="9"/>
      <c r="F67" s="7"/>
      <c r="G67" s="15"/>
      <c r="H67" s="7"/>
      <c r="I67" s="7"/>
      <c r="J67" s="139"/>
      <c r="M67" s="32"/>
      <c r="N67" s="32"/>
    </row>
    <row r="68" spans="1:14" s="119" customFormat="1" ht="12.75" customHeight="1" thickBot="1" x14ac:dyDescent="0.25">
      <c r="A68" s="32"/>
      <c r="B68" s="256"/>
      <c r="C68" s="150"/>
      <c r="D68" s="11"/>
      <c r="E68" s="346"/>
      <c r="F68" s="346"/>
      <c r="G68" s="257"/>
      <c r="H68" s="152"/>
      <c r="I68" s="152"/>
      <c r="J68" s="258"/>
      <c r="M68" s="32"/>
      <c r="N68" s="32"/>
    </row>
    <row r="69" spans="1:14" s="119" customFormat="1" ht="18" x14ac:dyDescent="0.25">
      <c r="A69" s="32"/>
      <c r="B69" s="32"/>
      <c r="C69" s="134"/>
      <c r="D69" s="12"/>
      <c r="E69" s="12"/>
      <c r="F69" s="12"/>
      <c r="G69" s="259"/>
      <c r="H69" s="260"/>
      <c r="I69" s="32"/>
      <c r="M69" s="32"/>
      <c r="N69" s="32"/>
    </row>
    <row r="70" spans="1:14" s="119" customFormat="1" x14ac:dyDescent="0.2">
      <c r="A70" s="32"/>
      <c r="B70" s="32"/>
      <c r="C70" s="134"/>
      <c r="D70" s="32"/>
      <c r="E70" s="93"/>
      <c r="F70" s="32"/>
      <c r="G70" s="133"/>
      <c r="H70" s="32"/>
      <c r="I70" s="32"/>
      <c r="M70" s="32"/>
      <c r="N70" s="32"/>
    </row>
    <row r="71" spans="1:14" s="119" customFormat="1" x14ac:dyDescent="0.2">
      <c r="A71" s="32"/>
      <c r="B71" s="32"/>
      <c r="C71" s="134"/>
      <c r="D71" s="32"/>
      <c r="E71" s="154"/>
      <c r="F71" s="154"/>
      <c r="G71" s="32"/>
      <c r="H71" s="155"/>
      <c r="I71" s="32"/>
      <c r="M71" s="32"/>
      <c r="N71" s="32"/>
    </row>
    <row r="72" spans="1:14" s="119" customFormat="1" ht="12.75" customHeight="1" x14ac:dyDescent="0.2">
      <c r="A72" s="32"/>
      <c r="B72" s="32"/>
      <c r="C72" s="134"/>
      <c r="D72" s="32"/>
      <c r="E72" s="347"/>
      <c r="F72" s="347"/>
      <c r="G72" s="347"/>
      <c r="H72" s="347"/>
      <c r="I72" s="32"/>
      <c r="M72" s="32"/>
      <c r="N72" s="32"/>
    </row>
    <row r="73" spans="1:14" s="119" customFormat="1" x14ac:dyDescent="0.2">
      <c r="A73" s="32"/>
      <c r="B73" s="32"/>
      <c r="C73" s="134"/>
      <c r="D73" s="32"/>
      <c r="E73" s="13"/>
      <c r="F73" s="13"/>
      <c r="G73" s="13"/>
      <c r="H73" s="13"/>
      <c r="I73" s="32"/>
      <c r="M73" s="32"/>
      <c r="N73" s="32"/>
    </row>
    <row r="74" spans="1:14" s="119" customFormat="1" ht="12.75" customHeight="1" x14ac:dyDescent="0.2">
      <c r="A74" s="32"/>
      <c r="B74" s="32"/>
      <c r="C74" s="134"/>
      <c r="D74" s="32"/>
      <c r="E74" s="347"/>
      <c r="F74" s="347"/>
      <c r="G74" s="347"/>
      <c r="H74" s="347"/>
      <c r="I74" s="32"/>
      <c r="M74" s="32"/>
      <c r="N74" s="32"/>
    </row>
    <row r="75" spans="1:14" x14ac:dyDescent="0.2">
      <c r="E75" s="348"/>
      <c r="F75" s="348"/>
      <c r="G75" s="348"/>
      <c r="H75" s="348"/>
    </row>
    <row r="76" spans="1:14" x14ac:dyDescent="0.2">
      <c r="E76" s="347"/>
      <c r="F76" s="347"/>
      <c r="G76" s="347"/>
      <c r="H76" s="347"/>
    </row>
    <row r="77" spans="1:14" x14ac:dyDescent="0.2">
      <c r="E77" s="348"/>
      <c r="F77" s="348"/>
      <c r="G77" s="348"/>
      <c r="H77" s="348"/>
    </row>
  </sheetData>
  <mergeCells count="13">
    <mergeCell ref="E74:H74"/>
    <mergeCell ref="E75:H75"/>
    <mergeCell ref="E76:H76"/>
    <mergeCell ref="E77:H77"/>
    <mergeCell ref="C11:I13"/>
    <mergeCell ref="D15:I16"/>
    <mergeCell ref="D20:I21"/>
    <mergeCell ref="D23:I26"/>
    <mergeCell ref="C7:I9"/>
    <mergeCell ref="D62:I63"/>
    <mergeCell ref="D32:I34"/>
    <mergeCell ref="E68:F68"/>
    <mergeCell ref="E72:H72"/>
  </mergeCells>
  <printOptions horizontalCentered="1"/>
  <pageMargins left="0.59055118110236227" right="0.59055118110236227" top="0.59055118110236227" bottom="0.59055118110236227" header="0" footer="0"/>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92"/>
  <sheetViews>
    <sheetView showGridLines="0" zoomScale="80" zoomScaleNormal="80" workbookViewId="0">
      <selection activeCell="C3" sqref="C3:C5"/>
    </sheetView>
  </sheetViews>
  <sheetFormatPr baseColWidth="10" defaultColWidth="9.140625" defaultRowHeight="12.75" x14ac:dyDescent="0.2"/>
  <cols>
    <col min="1" max="1" width="9.140625" style="18"/>
    <col min="2" max="2" width="2.85546875" style="18" bestFit="1" customWidth="1"/>
    <col min="3" max="3" width="59.42578125" style="18" customWidth="1"/>
    <col min="4" max="4" width="9.85546875" style="18" bestFit="1" customWidth="1"/>
    <col min="5" max="5" width="13.5703125" style="18" customWidth="1"/>
    <col min="6" max="6" width="12.28515625" style="18" bestFit="1" customWidth="1"/>
    <col min="7" max="8" width="9.140625" style="18"/>
    <col min="9" max="9" width="9.85546875" style="18" bestFit="1" customWidth="1"/>
    <col min="10" max="10" width="10.85546875" style="18" bestFit="1" customWidth="1"/>
    <col min="11" max="11" width="6.7109375" style="18" bestFit="1" customWidth="1"/>
    <col min="12" max="12" width="9.85546875" style="18" bestFit="1" customWidth="1"/>
    <col min="13" max="13" width="12.140625" style="18" bestFit="1" customWidth="1"/>
    <col min="14" max="14" width="11.28515625" style="18" bestFit="1" customWidth="1"/>
    <col min="15" max="15" width="4.85546875" style="18" bestFit="1" customWidth="1"/>
    <col min="16" max="16" width="12.42578125" style="18" bestFit="1" customWidth="1"/>
    <col min="17" max="17" width="10.85546875" style="18" bestFit="1" customWidth="1"/>
    <col min="18" max="18" width="5.85546875" style="18" bestFit="1" customWidth="1"/>
    <col min="19" max="19" width="9.140625" style="18"/>
    <col min="20" max="20" width="11.28515625" style="18" bestFit="1" customWidth="1"/>
    <col min="21" max="16384" width="9.140625" style="18"/>
  </cols>
  <sheetData>
    <row r="1" spans="2:8" ht="13.5" thickBot="1" x14ac:dyDescent="0.25"/>
    <row r="2" spans="2:8" ht="13.5" thickBot="1" x14ac:dyDescent="0.25">
      <c r="B2" s="69"/>
      <c r="C2" s="1"/>
      <c r="D2" s="70"/>
      <c r="E2" s="70"/>
      <c r="F2" s="70"/>
      <c r="G2" s="71"/>
      <c r="H2" s="72"/>
    </row>
    <row r="3" spans="2:8" x14ac:dyDescent="0.2">
      <c r="B3" s="73"/>
      <c r="C3" s="1" t="s">
        <v>234</v>
      </c>
      <c r="D3" s="72"/>
      <c r="E3" s="72"/>
      <c r="F3" s="72"/>
      <c r="G3" s="74"/>
      <c r="H3" s="72"/>
    </row>
    <row r="4" spans="2:8" x14ac:dyDescent="0.2">
      <c r="B4" s="73"/>
      <c r="C4" s="394" t="s">
        <v>235</v>
      </c>
      <c r="D4" s="72"/>
      <c r="E4" s="72"/>
      <c r="F4" s="72"/>
      <c r="G4" s="74"/>
      <c r="H4" s="72"/>
    </row>
    <row r="5" spans="2:8" x14ac:dyDescent="0.2">
      <c r="B5" s="73"/>
      <c r="C5" s="394" t="s">
        <v>236</v>
      </c>
      <c r="D5" s="72"/>
      <c r="E5" s="72"/>
      <c r="F5" s="72"/>
      <c r="G5" s="74"/>
      <c r="H5" s="72"/>
    </row>
    <row r="6" spans="2:8" x14ac:dyDescent="0.2">
      <c r="B6" s="73"/>
      <c r="C6" s="7"/>
      <c r="D6" s="72"/>
      <c r="E6" s="72"/>
      <c r="F6" s="72"/>
      <c r="G6" s="74"/>
      <c r="H6" s="72"/>
    </row>
    <row r="7" spans="2:8" x14ac:dyDescent="0.2">
      <c r="B7" s="73"/>
      <c r="C7" s="351" t="s">
        <v>196</v>
      </c>
      <c r="D7" s="351"/>
      <c r="E7" s="351"/>
      <c r="F7" s="351"/>
      <c r="G7" s="74"/>
      <c r="H7" s="72"/>
    </row>
    <row r="8" spans="2:8" x14ac:dyDescent="0.2">
      <c r="B8" s="73"/>
      <c r="C8" s="351"/>
      <c r="D8" s="351"/>
      <c r="E8" s="351"/>
      <c r="F8" s="351"/>
      <c r="G8" s="74"/>
      <c r="H8" s="72"/>
    </row>
    <row r="9" spans="2:8" x14ac:dyDescent="0.2">
      <c r="B9" s="73"/>
      <c r="C9" s="351"/>
      <c r="D9" s="351"/>
      <c r="E9" s="351"/>
      <c r="F9" s="351"/>
      <c r="G9" s="74"/>
      <c r="H9" s="72"/>
    </row>
    <row r="10" spans="2:8" x14ac:dyDescent="0.2">
      <c r="B10" s="73"/>
      <c r="C10" s="72"/>
      <c r="D10" s="72"/>
      <c r="E10" s="72"/>
      <c r="F10" s="72"/>
      <c r="G10" s="74"/>
      <c r="H10" s="72"/>
    </row>
    <row r="11" spans="2:8" x14ac:dyDescent="0.2">
      <c r="B11" s="14" t="s">
        <v>21</v>
      </c>
      <c r="C11" s="75" t="s">
        <v>57</v>
      </c>
      <c r="D11" s="72"/>
      <c r="E11" s="72"/>
      <c r="F11" s="72"/>
      <c r="G11" s="74"/>
      <c r="H11" s="72"/>
    </row>
    <row r="12" spans="2:8" x14ac:dyDescent="0.2">
      <c r="B12" s="73"/>
      <c r="C12" s="4" t="s">
        <v>56</v>
      </c>
      <c r="D12" s="7"/>
      <c r="E12" s="7"/>
      <c r="F12" s="15">
        <v>6000000</v>
      </c>
      <c r="G12" s="16"/>
      <c r="H12" s="72"/>
    </row>
    <row r="13" spans="2:8" x14ac:dyDescent="0.2">
      <c r="B13" s="14"/>
      <c r="C13" s="8" t="s">
        <v>60</v>
      </c>
      <c r="D13" s="7"/>
      <c r="E13" s="7"/>
      <c r="F13" s="7"/>
      <c r="G13" s="17"/>
      <c r="H13" s="72"/>
    </row>
    <row r="14" spans="2:8" x14ac:dyDescent="0.2">
      <c r="B14" s="14"/>
      <c r="C14" s="7" t="s">
        <v>9</v>
      </c>
      <c r="D14" s="7"/>
      <c r="E14" s="15">
        <f>15000000*3%</f>
        <v>450000</v>
      </c>
      <c r="F14" s="7"/>
      <c r="G14" s="16"/>
      <c r="H14" s="72"/>
    </row>
    <row r="15" spans="2:8" x14ac:dyDescent="0.2">
      <c r="B15" s="14"/>
      <c r="C15" s="7" t="s">
        <v>170</v>
      </c>
      <c r="D15" s="7"/>
      <c r="E15" s="15">
        <v>5000000</v>
      </c>
      <c r="F15" s="7"/>
      <c r="G15" s="16"/>
      <c r="H15" s="72"/>
    </row>
    <row r="16" spans="2:8" x14ac:dyDescent="0.2">
      <c r="B16" s="14"/>
      <c r="C16" s="7" t="s">
        <v>176</v>
      </c>
      <c r="D16" s="7"/>
      <c r="E16" s="15">
        <v>1250000</v>
      </c>
      <c r="F16" s="7"/>
      <c r="G16" s="16"/>
      <c r="H16" s="72"/>
    </row>
    <row r="17" spans="2:14" x14ac:dyDescent="0.2">
      <c r="B17" s="14"/>
      <c r="C17" s="7" t="s">
        <v>11</v>
      </c>
      <c r="D17" s="7"/>
      <c r="E17" s="15">
        <v>150000</v>
      </c>
      <c r="F17" s="15">
        <f>SUM(E14:E17)</f>
        <v>6850000</v>
      </c>
      <c r="G17" s="16"/>
      <c r="H17" s="72"/>
    </row>
    <row r="18" spans="2:14" x14ac:dyDescent="0.2">
      <c r="B18" s="14"/>
      <c r="C18" s="72"/>
      <c r="D18" s="72"/>
      <c r="E18" s="72"/>
      <c r="F18" s="7"/>
      <c r="G18" s="16"/>
      <c r="H18" s="72"/>
    </row>
    <row r="19" spans="2:14" x14ac:dyDescent="0.2">
      <c r="B19" s="14"/>
      <c r="C19" s="8" t="s">
        <v>61</v>
      </c>
      <c r="D19" s="7"/>
      <c r="E19" s="15"/>
      <c r="F19" s="7"/>
      <c r="G19" s="16"/>
      <c r="H19" s="72"/>
    </row>
    <row r="20" spans="2:14" x14ac:dyDescent="0.2">
      <c r="B20" s="14"/>
      <c r="C20" s="9" t="s">
        <v>13</v>
      </c>
      <c r="D20" s="7"/>
      <c r="E20" s="19">
        <f>-N35</f>
        <v>-837230</v>
      </c>
      <c r="F20" s="7"/>
      <c r="G20" s="16"/>
      <c r="H20" s="72"/>
    </row>
    <row r="21" spans="2:14" x14ac:dyDescent="0.2">
      <c r="B21" s="14"/>
      <c r="C21" s="9" t="s">
        <v>25</v>
      </c>
      <c r="D21" s="7"/>
      <c r="E21" s="19">
        <v>-2900000</v>
      </c>
      <c r="F21" s="7"/>
      <c r="G21" s="16"/>
      <c r="H21" s="72"/>
    </row>
    <row r="22" spans="2:14" x14ac:dyDescent="0.2">
      <c r="B22" s="14"/>
      <c r="C22" s="9" t="str">
        <f>+C16</f>
        <v>Arriendo de Automóvil Socio N°1 (Actualizados)</v>
      </c>
      <c r="D22" s="7"/>
      <c r="E22" s="19">
        <f>-E16</f>
        <v>-1250000</v>
      </c>
      <c r="F22" s="19">
        <f>SUM(E20:E22)</f>
        <v>-4987230</v>
      </c>
      <c r="G22" s="16"/>
      <c r="H22" s="72"/>
    </row>
    <row r="23" spans="2:14" x14ac:dyDescent="0.2">
      <c r="B23" s="14"/>
      <c r="C23" s="9"/>
      <c r="D23" s="7"/>
      <c r="E23" s="15"/>
      <c r="F23" s="7"/>
      <c r="G23" s="16"/>
      <c r="H23" s="72"/>
    </row>
    <row r="24" spans="2:14" x14ac:dyDescent="0.2">
      <c r="B24" s="14"/>
      <c r="C24" s="20" t="s">
        <v>71</v>
      </c>
      <c r="D24" s="21"/>
      <c r="E24" s="22"/>
      <c r="F24" s="22">
        <f>SUM(F12:F22)</f>
        <v>7862770</v>
      </c>
      <c r="G24" s="16"/>
      <c r="H24" s="72"/>
    </row>
    <row r="25" spans="2:14" x14ac:dyDescent="0.2">
      <c r="B25" s="14"/>
      <c r="C25" s="8"/>
      <c r="D25" s="4"/>
      <c r="E25" s="10"/>
      <c r="F25" s="10"/>
      <c r="G25" s="16"/>
      <c r="H25" s="72"/>
      <c r="I25" s="253"/>
      <c r="J25" s="253"/>
      <c r="K25" s="253"/>
      <c r="L25" s="253"/>
      <c r="M25" s="253"/>
      <c r="N25" s="253"/>
    </row>
    <row r="26" spans="2:14" x14ac:dyDescent="0.2">
      <c r="B26" s="14"/>
      <c r="C26" s="8" t="s">
        <v>65</v>
      </c>
      <c r="D26" s="7"/>
      <c r="E26" s="15"/>
      <c r="F26" s="7"/>
      <c r="G26" s="16"/>
      <c r="H26" s="72"/>
      <c r="I26" s="253"/>
      <c r="J26" s="253"/>
      <c r="K26" s="253"/>
      <c r="L26" s="253"/>
      <c r="M26" s="253"/>
      <c r="N26" s="253"/>
    </row>
    <row r="27" spans="2:14" x14ac:dyDescent="0.2">
      <c r="B27" s="14"/>
      <c r="C27" s="9" t="s">
        <v>191</v>
      </c>
      <c r="D27" s="7"/>
      <c r="E27" s="15"/>
      <c r="F27" s="19">
        <f>-'Planteamiento Ejercicio n°11'!I41</f>
        <v>-1714999.3139999998</v>
      </c>
      <c r="G27" s="16"/>
      <c r="H27" s="72"/>
      <c r="I27" s="253"/>
      <c r="J27" s="253"/>
      <c r="K27" s="253"/>
      <c r="L27" s="253"/>
      <c r="M27" s="253"/>
      <c r="N27" s="253"/>
    </row>
    <row r="28" spans="2:14" x14ac:dyDescent="0.2">
      <c r="B28" s="14"/>
      <c r="C28" s="9"/>
      <c r="D28" s="7"/>
      <c r="E28" s="15"/>
      <c r="F28" s="7"/>
      <c r="G28" s="16"/>
      <c r="H28" s="72"/>
      <c r="I28" s="253"/>
      <c r="J28" s="253"/>
      <c r="K28" s="253"/>
      <c r="L28" s="253"/>
      <c r="M28" s="253"/>
      <c r="N28" s="253"/>
    </row>
    <row r="29" spans="2:14" x14ac:dyDescent="0.2">
      <c r="B29" s="14"/>
      <c r="C29" s="20" t="s">
        <v>68</v>
      </c>
      <c r="D29" s="21"/>
      <c r="E29" s="22"/>
      <c r="F29" s="22">
        <f>SUM(F24:F27)</f>
        <v>6147770.6860000007</v>
      </c>
      <c r="G29" s="16"/>
      <c r="H29" s="72"/>
      <c r="I29" s="253"/>
      <c r="J29" s="253"/>
      <c r="K29" s="253"/>
      <c r="L29" s="253"/>
      <c r="M29" s="253"/>
      <c r="N29" s="253"/>
    </row>
    <row r="30" spans="2:14" x14ac:dyDescent="0.2">
      <c r="B30" s="14"/>
      <c r="C30" s="8"/>
      <c r="D30" s="4"/>
      <c r="E30" s="10"/>
      <c r="F30" s="10"/>
      <c r="G30" s="16"/>
      <c r="H30" s="72"/>
      <c r="I30" s="253"/>
      <c r="J30" s="253"/>
      <c r="K30" s="253"/>
      <c r="L30" s="253"/>
      <c r="M30" s="253"/>
      <c r="N30" s="253"/>
    </row>
    <row r="31" spans="2:14" x14ac:dyDescent="0.2">
      <c r="B31" s="14"/>
      <c r="C31" s="9" t="s">
        <v>26</v>
      </c>
      <c r="D31" s="7"/>
      <c r="E31" s="15">
        <v>2900000</v>
      </c>
      <c r="F31" s="10"/>
      <c r="G31" s="16"/>
      <c r="H31" s="72"/>
      <c r="I31" s="253"/>
      <c r="J31" s="277" t="s">
        <v>22</v>
      </c>
      <c r="K31" s="277" t="s">
        <v>23</v>
      </c>
      <c r="L31" s="277" t="s">
        <v>24</v>
      </c>
      <c r="M31" s="253"/>
      <c r="N31" s="253"/>
    </row>
    <row r="32" spans="2:14" x14ac:dyDescent="0.2">
      <c r="B32" s="14"/>
      <c r="C32" s="7" t="s">
        <v>149</v>
      </c>
      <c r="D32" s="7"/>
      <c r="E32" s="15">
        <f>+'Desarrollo Ejercicio n°11 B y C'!E44</f>
        <v>1072602.7</v>
      </c>
      <c r="F32" s="10">
        <f>SUM(E31:E32)</f>
        <v>3972602.7</v>
      </c>
      <c r="G32" s="16"/>
      <c r="H32" s="72"/>
      <c r="I32" s="253"/>
      <c r="J32" s="278">
        <v>30000000</v>
      </c>
      <c r="K32" s="279">
        <v>2.9000000000000001E-2</v>
      </c>
      <c r="L32" s="278">
        <f>+J32*K32</f>
        <v>870000</v>
      </c>
      <c r="M32" s="280">
        <f>+J32+L32</f>
        <v>30870000</v>
      </c>
      <c r="N32" s="278">
        <f>+M32*K32</f>
        <v>895230</v>
      </c>
    </row>
    <row r="33" spans="2:14" x14ac:dyDescent="0.2">
      <c r="B33" s="14"/>
      <c r="C33" s="72"/>
      <c r="D33" s="72"/>
      <c r="E33" s="72"/>
      <c r="F33" s="72"/>
      <c r="G33" s="16"/>
      <c r="H33" s="72"/>
      <c r="I33" s="253"/>
      <c r="J33" s="278">
        <v>-6000000</v>
      </c>
      <c r="K33" s="279">
        <v>8.0000000000000002E-3</v>
      </c>
      <c r="L33" s="278">
        <f t="shared" ref="L33:L34" si="0">+J33*K33</f>
        <v>-48000</v>
      </c>
      <c r="M33" s="253"/>
      <c r="N33" s="280">
        <f>+L33</f>
        <v>-48000</v>
      </c>
    </row>
    <row r="34" spans="2:14" x14ac:dyDescent="0.2">
      <c r="B34" s="14"/>
      <c r="C34" s="20" t="s">
        <v>58</v>
      </c>
      <c r="D34" s="21"/>
      <c r="E34" s="22"/>
      <c r="F34" s="22">
        <f>SUM(F29:F32)</f>
        <v>10120373.386</v>
      </c>
      <c r="G34" s="16"/>
      <c r="H34" s="72"/>
      <c r="I34" s="253"/>
      <c r="J34" s="278">
        <v>-5000000</v>
      </c>
      <c r="K34" s="279">
        <v>2E-3</v>
      </c>
      <c r="L34" s="278">
        <f t="shared" si="0"/>
        <v>-10000</v>
      </c>
      <c r="M34" s="253"/>
      <c r="N34" s="280">
        <f>+L34</f>
        <v>-10000</v>
      </c>
    </row>
    <row r="35" spans="2:14" x14ac:dyDescent="0.2">
      <c r="B35" s="14"/>
      <c r="C35" s="8"/>
      <c r="D35" s="4"/>
      <c r="E35" s="10"/>
      <c r="F35" s="10"/>
      <c r="G35" s="16"/>
      <c r="H35" s="72"/>
      <c r="I35" s="253"/>
      <c r="J35" s="278"/>
      <c r="K35" s="253"/>
      <c r="L35" s="253"/>
      <c r="M35" s="253"/>
      <c r="N35" s="281">
        <f>SUM(N32:N34)</f>
        <v>837230</v>
      </c>
    </row>
    <row r="36" spans="2:14" x14ac:dyDescent="0.2">
      <c r="B36" s="14"/>
      <c r="C36" s="8" t="s">
        <v>27</v>
      </c>
      <c r="E36" s="23">
        <v>0.25</v>
      </c>
      <c r="F36" s="10">
        <f>ROUND(F34*E36,0)</f>
        <v>2530093</v>
      </c>
      <c r="G36" s="16"/>
      <c r="H36" s="72"/>
      <c r="I36" s="253"/>
      <c r="J36" s="253"/>
      <c r="K36" s="253"/>
      <c r="L36" s="253"/>
      <c r="M36" s="253"/>
      <c r="N36" s="253"/>
    </row>
    <row r="37" spans="2:14" ht="15" x14ac:dyDescent="0.25">
      <c r="B37" s="14"/>
      <c r="C37" s="9"/>
      <c r="D37" s="7"/>
      <c r="E37" s="7"/>
      <c r="F37" s="15"/>
      <c r="G37" s="16"/>
      <c r="H37" s="72"/>
      <c r="N37" s="120"/>
    </row>
    <row r="38" spans="2:14" x14ac:dyDescent="0.2">
      <c r="B38" s="14"/>
      <c r="C38" s="273" t="s">
        <v>202</v>
      </c>
      <c r="D38" s="272">
        <f>+F32</f>
        <v>3972602.7</v>
      </c>
      <c r="G38" s="16"/>
      <c r="H38" s="72"/>
      <c r="J38" s="15"/>
    </row>
    <row r="39" spans="2:14" x14ac:dyDescent="0.2">
      <c r="B39" s="14"/>
      <c r="C39" s="207" t="s">
        <v>185</v>
      </c>
      <c r="D39" s="15">
        <f>+D38*25%</f>
        <v>993150.67500000005</v>
      </c>
      <c r="E39" s="78">
        <v>0.25</v>
      </c>
      <c r="F39" s="19">
        <f>-D39</f>
        <v>-993150.67500000005</v>
      </c>
      <c r="G39" s="16"/>
      <c r="H39" s="72"/>
      <c r="J39" s="15"/>
    </row>
    <row r="40" spans="2:14" x14ac:dyDescent="0.2">
      <c r="B40" s="14"/>
      <c r="C40" s="9"/>
      <c r="D40" s="7"/>
      <c r="E40" s="7"/>
      <c r="F40" s="7"/>
      <c r="G40" s="16"/>
      <c r="H40" s="72"/>
    </row>
    <row r="41" spans="2:14" x14ac:dyDescent="0.2">
      <c r="B41" s="14"/>
      <c r="C41" s="20" t="s">
        <v>28</v>
      </c>
      <c r="D41" s="21"/>
      <c r="E41" s="21"/>
      <c r="F41" s="22">
        <f>SUM(F36:F39)</f>
        <v>1536942.325</v>
      </c>
      <c r="G41" s="16"/>
      <c r="H41" s="72"/>
    </row>
    <row r="42" spans="2:14" x14ac:dyDescent="0.2">
      <c r="B42" s="14"/>
      <c r="C42" s="9"/>
      <c r="D42" s="7"/>
      <c r="E42" s="7"/>
      <c r="F42" s="7"/>
      <c r="G42" s="16"/>
      <c r="H42" s="72"/>
    </row>
    <row r="43" spans="2:14" x14ac:dyDescent="0.2">
      <c r="B43" s="14"/>
      <c r="C43" s="81" t="s">
        <v>69</v>
      </c>
      <c r="D43" s="7"/>
      <c r="E43" s="7"/>
      <c r="F43" s="7"/>
      <c r="G43" s="16"/>
      <c r="H43" s="72"/>
    </row>
    <row r="44" spans="2:14" x14ac:dyDescent="0.2">
      <c r="B44" s="14"/>
      <c r="C44" s="81"/>
      <c r="D44" s="7"/>
      <c r="E44" s="7"/>
      <c r="F44" s="7"/>
      <c r="G44" s="16"/>
      <c r="H44" s="72"/>
    </row>
    <row r="45" spans="2:14" x14ac:dyDescent="0.2">
      <c r="B45" s="14"/>
      <c r="C45" s="8" t="s">
        <v>29</v>
      </c>
      <c r="D45" s="4"/>
      <c r="E45" s="10"/>
      <c r="F45" s="10">
        <f>SUM(F36:F39)</f>
        <v>1536942.325</v>
      </c>
      <c r="G45" s="16"/>
      <c r="H45" s="72"/>
    </row>
    <row r="46" spans="2:14" x14ac:dyDescent="0.2">
      <c r="B46" s="14"/>
      <c r="C46" s="8" t="s">
        <v>30</v>
      </c>
      <c r="D46" s="24">
        <v>0.4</v>
      </c>
      <c r="E46" s="10"/>
      <c r="F46" s="10">
        <f>-ROUND(0*D46,0)</f>
        <v>0</v>
      </c>
      <c r="G46" s="16"/>
      <c r="H46" s="72"/>
    </row>
    <row r="47" spans="2:14" x14ac:dyDescent="0.2">
      <c r="B47" s="14"/>
      <c r="C47" s="8" t="s">
        <v>192</v>
      </c>
      <c r="D47" s="24"/>
      <c r="E47" s="10"/>
      <c r="F47" s="10">
        <f>+'Desarrollo Ejercicio n°11 B y C'!G38</f>
        <v>362542.25</v>
      </c>
      <c r="G47" s="16"/>
      <c r="H47" s="72"/>
    </row>
    <row r="48" spans="2:14" x14ac:dyDescent="0.2">
      <c r="B48" s="14"/>
      <c r="C48" s="8"/>
      <c r="D48" s="4"/>
      <c r="E48" s="10"/>
      <c r="F48" s="10"/>
      <c r="G48" s="16"/>
      <c r="H48" s="72"/>
    </row>
    <row r="49" spans="2:8" x14ac:dyDescent="0.2">
      <c r="B49" s="14"/>
      <c r="C49" s="85" t="s">
        <v>31</v>
      </c>
      <c r="D49" s="86"/>
      <c r="E49" s="87"/>
      <c r="F49" s="87">
        <f>SUM(F45:F47)</f>
        <v>1899484.575</v>
      </c>
      <c r="G49" s="16"/>
      <c r="H49" s="72"/>
    </row>
    <row r="50" spans="2:8" ht="13.5" thickBot="1" x14ac:dyDescent="0.25">
      <c r="B50" s="25"/>
      <c r="C50" s="88"/>
      <c r="D50" s="88"/>
      <c r="E50" s="88"/>
      <c r="F50" s="88"/>
      <c r="G50" s="29"/>
      <c r="H50" s="72"/>
    </row>
    <row r="51" spans="2:8" x14ac:dyDescent="0.2">
      <c r="B51" s="6"/>
      <c r="C51" s="8"/>
      <c r="D51" s="24"/>
      <c r="E51" s="10"/>
      <c r="F51" s="10"/>
      <c r="G51" s="7"/>
      <c r="H51" s="72"/>
    </row>
    <row r="52" spans="2:8" x14ac:dyDescent="0.2">
      <c r="H52" s="72"/>
    </row>
    <row r="53" spans="2:8" x14ac:dyDescent="0.2">
      <c r="H53" s="72"/>
    </row>
    <row r="54" spans="2:8" x14ac:dyDescent="0.2">
      <c r="H54" s="72"/>
    </row>
    <row r="55" spans="2:8" x14ac:dyDescent="0.2">
      <c r="H55" s="72"/>
    </row>
    <row r="56" spans="2:8" x14ac:dyDescent="0.2">
      <c r="H56" s="7"/>
    </row>
    <row r="57" spans="2:8" x14ac:dyDescent="0.2">
      <c r="H57" s="30"/>
    </row>
    <row r="58" spans="2:8" x14ac:dyDescent="0.2">
      <c r="H58" s="7"/>
    </row>
    <row r="59" spans="2:8" x14ac:dyDescent="0.2">
      <c r="H59" s="7"/>
    </row>
    <row r="60" spans="2:8" x14ac:dyDescent="0.2">
      <c r="H60" s="7"/>
    </row>
    <row r="61" spans="2:8" x14ac:dyDescent="0.2">
      <c r="H61" s="7"/>
    </row>
    <row r="62" spans="2:8" x14ac:dyDescent="0.2">
      <c r="H62" s="7"/>
    </row>
    <row r="63" spans="2:8" x14ac:dyDescent="0.2">
      <c r="H63" s="7"/>
    </row>
    <row r="64" spans="2:8" x14ac:dyDescent="0.2">
      <c r="H64" s="7"/>
    </row>
    <row r="65" spans="8:20" x14ac:dyDescent="0.2">
      <c r="H65" s="7"/>
    </row>
    <row r="66" spans="8:20" x14ac:dyDescent="0.2">
      <c r="H66" s="7"/>
      <c r="T66" s="76"/>
    </row>
    <row r="67" spans="8:20" x14ac:dyDescent="0.2">
      <c r="H67" s="7"/>
    </row>
    <row r="68" spans="8:20" x14ac:dyDescent="0.2">
      <c r="H68" s="7"/>
    </row>
    <row r="69" spans="8:20" x14ac:dyDescent="0.2">
      <c r="H69" s="7"/>
    </row>
    <row r="70" spans="8:20" x14ac:dyDescent="0.2">
      <c r="H70" s="7"/>
    </row>
    <row r="71" spans="8:20" x14ac:dyDescent="0.2">
      <c r="H71" s="7"/>
    </row>
    <row r="72" spans="8:20" x14ac:dyDescent="0.2">
      <c r="H72" s="7"/>
    </row>
    <row r="73" spans="8:20" x14ac:dyDescent="0.2">
      <c r="H73" s="7"/>
    </row>
    <row r="74" spans="8:20" x14ac:dyDescent="0.2">
      <c r="H74" s="7"/>
    </row>
    <row r="75" spans="8:20" x14ac:dyDescent="0.2">
      <c r="H75" s="7"/>
    </row>
    <row r="76" spans="8:20" x14ac:dyDescent="0.2">
      <c r="H76" s="7"/>
    </row>
    <row r="77" spans="8:20" x14ac:dyDescent="0.2">
      <c r="H77" s="7"/>
    </row>
    <row r="78" spans="8:20" x14ac:dyDescent="0.2">
      <c r="H78" s="7"/>
    </row>
    <row r="79" spans="8:20" x14ac:dyDescent="0.2">
      <c r="H79" s="7"/>
    </row>
    <row r="80" spans="8:20" x14ac:dyDescent="0.2">
      <c r="H80" s="7"/>
    </row>
    <row r="81" spans="2:8" x14ac:dyDescent="0.2">
      <c r="H81" s="7"/>
    </row>
    <row r="82" spans="2:8" x14ac:dyDescent="0.2">
      <c r="H82" s="7"/>
    </row>
    <row r="83" spans="2:8" x14ac:dyDescent="0.2">
      <c r="H83" s="7"/>
    </row>
    <row r="84" spans="2:8" x14ac:dyDescent="0.2">
      <c r="H84" s="7"/>
    </row>
    <row r="85" spans="2:8" x14ac:dyDescent="0.2">
      <c r="H85" s="7"/>
    </row>
    <row r="86" spans="2:8" x14ac:dyDescent="0.2">
      <c r="B86" s="31"/>
      <c r="G86" s="32"/>
      <c r="H86" s="32"/>
    </row>
    <row r="87" spans="2:8" x14ac:dyDescent="0.2">
      <c r="B87" s="31"/>
      <c r="G87" s="32"/>
      <c r="H87" s="32"/>
    </row>
    <row r="88" spans="2:8" x14ac:dyDescent="0.2">
      <c r="B88" s="31"/>
      <c r="G88" s="32"/>
      <c r="H88" s="32"/>
    </row>
    <row r="89" spans="2:8" x14ac:dyDescent="0.2">
      <c r="B89" s="31"/>
      <c r="G89" s="32"/>
      <c r="H89" s="32"/>
    </row>
    <row r="90" spans="2:8" x14ac:dyDescent="0.2">
      <c r="B90" s="31"/>
      <c r="G90" s="32"/>
      <c r="H90" s="32"/>
    </row>
    <row r="91" spans="2:8" x14ac:dyDescent="0.2">
      <c r="B91" s="31"/>
      <c r="G91" s="32"/>
      <c r="H91" s="32"/>
    </row>
    <row r="92" spans="2:8" x14ac:dyDescent="0.2">
      <c r="B92" s="31"/>
      <c r="G92" s="32"/>
      <c r="H92" s="32"/>
    </row>
  </sheetData>
  <mergeCells count="1">
    <mergeCell ref="C7:F9"/>
  </mergeCells>
  <printOptions horizontalCentered="1"/>
  <pageMargins left="0.19685039370078741" right="0.19685039370078741" top="0.59055118110236227" bottom="0.19685039370078741"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50"/>
  <sheetViews>
    <sheetView showGridLines="0" zoomScale="80" zoomScaleNormal="80" workbookViewId="0">
      <selection activeCell="C3" sqref="C3:C5"/>
    </sheetView>
  </sheetViews>
  <sheetFormatPr baseColWidth="10" defaultColWidth="9.140625" defaultRowHeight="12.75" x14ac:dyDescent="0.2"/>
  <cols>
    <col min="1" max="2" width="9.140625" style="18"/>
    <col min="3" max="3" width="53.42578125" style="18" customWidth="1"/>
    <col min="4" max="4" width="13.28515625" style="18" customWidth="1"/>
    <col min="5" max="5" width="12.42578125" style="18" customWidth="1"/>
    <col min="6" max="6" width="12.7109375" style="18" customWidth="1"/>
    <col min="7" max="8" width="11.28515625" style="18" bestFit="1" customWidth="1"/>
    <col min="9" max="9" width="9.28515625" style="18" bestFit="1" customWidth="1"/>
    <col min="10" max="10" width="12.7109375" style="18" customWidth="1"/>
    <col min="11" max="11" width="12.140625" style="18" customWidth="1"/>
    <col min="12" max="12" width="9.28515625" style="18" bestFit="1" customWidth="1"/>
    <col min="13" max="16384" width="9.140625" style="18"/>
  </cols>
  <sheetData>
    <row r="1" spans="2:13" ht="13.5" thickBot="1" x14ac:dyDescent="0.25"/>
    <row r="2" spans="2:13" ht="13.5" thickBot="1" x14ac:dyDescent="0.25">
      <c r="B2" s="69"/>
      <c r="C2" s="1"/>
      <c r="D2" s="1"/>
      <c r="E2" s="70"/>
      <c r="F2" s="70"/>
      <c r="G2" s="70"/>
      <c r="H2" s="70"/>
      <c r="I2" s="70"/>
      <c r="J2" s="70"/>
      <c r="K2" s="70"/>
      <c r="L2" s="70"/>
      <c r="M2" s="71"/>
    </row>
    <row r="3" spans="2:13" x14ac:dyDescent="0.2">
      <c r="B3" s="73"/>
      <c r="C3" s="1" t="s">
        <v>234</v>
      </c>
      <c r="D3" s="4"/>
      <c r="E3" s="72"/>
      <c r="F3" s="72"/>
      <c r="G3" s="72"/>
      <c r="H3" s="72"/>
      <c r="I3" s="72"/>
      <c r="J3" s="72"/>
      <c r="K3" s="72"/>
      <c r="L3" s="72"/>
      <c r="M3" s="74"/>
    </row>
    <row r="4" spans="2:13" x14ac:dyDescent="0.2">
      <c r="B4" s="73"/>
      <c r="C4" s="394" t="s">
        <v>235</v>
      </c>
      <c r="D4" s="7"/>
      <c r="E4" s="72"/>
      <c r="F4" s="72"/>
      <c r="G4" s="72"/>
      <c r="H4" s="72"/>
      <c r="I4" s="72"/>
      <c r="J4" s="72"/>
      <c r="K4" s="72"/>
      <c r="L4" s="72"/>
      <c r="M4" s="74"/>
    </row>
    <row r="5" spans="2:13" x14ac:dyDescent="0.2">
      <c r="B5" s="73"/>
      <c r="C5" s="394" t="s">
        <v>236</v>
      </c>
      <c r="D5" s="7"/>
      <c r="E5" s="72"/>
      <c r="F5" s="72"/>
      <c r="G5" s="72"/>
      <c r="H5" s="72"/>
      <c r="I5" s="72"/>
      <c r="J5" s="72"/>
      <c r="K5" s="72"/>
      <c r="L5" s="72"/>
      <c r="M5" s="74"/>
    </row>
    <row r="6" spans="2:13" x14ac:dyDescent="0.2">
      <c r="B6" s="73"/>
      <c r="C6" s="72"/>
      <c r="D6" s="72"/>
      <c r="E6" s="72"/>
      <c r="F6" s="72"/>
      <c r="G6" s="72"/>
      <c r="H6" s="72"/>
      <c r="I6" s="72"/>
      <c r="J6" s="72"/>
      <c r="K6" s="72"/>
      <c r="L6" s="72"/>
      <c r="M6" s="74"/>
    </row>
    <row r="7" spans="2:13" x14ac:dyDescent="0.2">
      <c r="B7" s="73"/>
      <c r="C7" s="351" t="s">
        <v>196</v>
      </c>
      <c r="D7" s="351"/>
      <c r="E7" s="351"/>
      <c r="F7" s="351"/>
      <c r="G7" s="351"/>
      <c r="H7" s="351"/>
      <c r="I7" s="351"/>
      <c r="J7" s="351"/>
      <c r="K7" s="351"/>
      <c r="L7" s="351"/>
      <c r="M7" s="74"/>
    </row>
    <row r="8" spans="2:13" x14ac:dyDescent="0.2">
      <c r="B8" s="73"/>
      <c r="C8" s="351"/>
      <c r="D8" s="351"/>
      <c r="E8" s="351"/>
      <c r="F8" s="351"/>
      <c r="G8" s="351"/>
      <c r="H8" s="351"/>
      <c r="I8" s="351"/>
      <c r="J8" s="351"/>
      <c r="K8" s="351"/>
      <c r="L8" s="351"/>
      <c r="M8" s="74"/>
    </row>
    <row r="9" spans="2:13" x14ac:dyDescent="0.2">
      <c r="B9" s="73"/>
      <c r="C9" s="72"/>
      <c r="D9" s="72"/>
      <c r="E9" s="72"/>
      <c r="F9" s="72"/>
      <c r="G9" s="72"/>
      <c r="H9" s="72"/>
      <c r="I9" s="72"/>
      <c r="J9" s="72"/>
      <c r="K9" s="72"/>
      <c r="L9" s="72"/>
      <c r="M9" s="74"/>
    </row>
    <row r="10" spans="2:13" x14ac:dyDescent="0.2">
      <c r="B10" s="73"/>
      <c r="C10" s="75" t="s">
        <v>32</v>
      </c>
      <c r="D10" s="75"/>
      <c r="E10" s="72"/>
      <c r="F10" s="72"/>
      <c r="G10" s="72"/>
      <c r="H10" s="72"/>
      <c r="I10" s="72"/>
      <c r="J10" s="72"/>
      <c r="K10" s="72"/>
      <c r="L10" s="72"/>
      <c r="M10" s="74"/>
    </row>
    <row r="11" spans="2:13" x14ac:dyDescent="0.2">
      <c r="B11" s="73"/>
      <c r="C11" s="354" t="s">
        <v>33</v>
      </c>
      <c r="D11" s="175"/>
      <c r="E11" s="33"/>
      <c r="F11" s="356" t="s">
        <v>34</v>
      </c>
      <c r="G11" s="357" t="s">
        <v>35</v>
      </c>
      <c r="H11" s="358" t="s">
        <v>36</v>
      </c>
      <c r="I11" s="356" t="s">
        <v>37</v>
      </c>
      <c r="J11" s="358" t="s">
        <v>38</v>
      </c>
      <c r="K11" s="358"/>
      <c r="L11" s="352" t="s">
        <v>39</v>
      </c>
      <c r="M11" s="74"/>
    </row>
    <row r="12" spans="2:13" ht="25.5" x14ac:dyDescent="0.2">
      <c r="B12" s="34"/>
      <c r="C12" s="355"/>
      <c r="D12" s="6"/>
      <c r="E12" s="35"/>
      <c r="F12" s="356"/>
      <c r="G12" s="357"/>
      <c r="H12" s="358"/>
      <c r="I12" s="357"/>
      <c r="J12" s="36" t="s">
        <v>190</v>
      </c>
      <c r="K12" s="36" t="s">
        <v>40</v>
      </c>
      <c r="L12" s="353"/>
      <c r="M12" s="74"/>
    </row>
    <row r="13" spans="2:13" x14ac:dyDescent="0.2">
      <c r="B13" s="37"/>
      <c r="C13" s="38" t="s">
        <v>41</v>
      </c>
      <c r="D13" s="20"/>
      <c r="E13" s="39"/>
      <c r="F13" s="40">
        <f>SUM(G13:I13)</f>
        <v>0</v>
      </c>
      <c r="G13" s="41">
        <v>0</v>
      </c>
      <c r="H13" s="42">
        <v>0</v>
      </c>
      <c r="I13" s="41">
        <v>0</v>
      </c>
      <c r="J13" s="42">
        <v>0</v>
      </c>
      <c r="K13" s="42">
        <v>0</v>
      </c>
      <c r="L13" s="40">
        <v>0</v>
      </c>
      <c r="M13" s="74"/>
    </row>
    <row r="14" spans="2:13" x14ac:dyDescent="0.2">
      <c r="B14" s="34"/>
      <c r="C14" s="43" t="s">
        <v>42</v>
      </c>
      <c r="D14" s="8"/>
      <c r="E14" s="44"/>
      <c r="F14" s="45"/>
      <c r="G14" s="142"/>
      <c r="H14" s="226"/>
      <c r="I14" s="142"/>
      <c r="J14" s="46"/>
      <c r="K14" s="47"/>
      <c r="L14" s="220"/>
      <c r="M14" s="48"/>
    </row>
    <row r="15" spans="2:13" x14ac:dyDescent="0.2">
      <c r="B15" s="34"/>
      <c r="C15" s="49" t="s">
        <v>58</v>
      </c>
      <c r="D15" s="9"/>
      <c r="E15" s="50"/>
      <c r="F15" s="51">
        <f>SUM(G15:I15)</f>
        <v>10120373.386</v>
      </c>
      <c r="G15" s="52">
        <f>+'Desarrollo Ejercicio n°11 A'!F34</f>
        <v>10120373.386</v>
      </c>
      <c r="H15" s="47"/>
      <c r="I15" s="52"/>
      <c r="J15" s="47"/>
      <c r="K15" s="47"/>
      <c r="L15" s="51"/>
      <c r="M15" s="74"/>
    </row>
    <row r="16" spans="2:13" x14ac:dyDescent="0.2">
      <c r="B16" s="34"/>
      <c r="C16" s="43" t="s">
        <v>43</v>
      </c>
      <c r="D16" s="8"/>
      <c r="E16" s="44"/>
      <c r="F16" s="51"/>
      <c r="G16" s="142"/>
      <c r="H16" s="47"/>
      <c r="I16" s="52"/>
      <c r="J16" s="47"/>
      <c r="K16" s="47"/>
      <c r="L16" s="51"/>
      <c r="M16" s="74"/>
    </row>
    <row r="17" spans="2:13" x14ac:dyDescent="0.2">
      <c r="B17" s="34"/>
      <c r="C17" s="53" t="s">
        <v>11</v>
      </c>
      <c r="D17" s="7"/>
      <c r="E17" s="54"/>
      <c r="F17" s="55">
        <f>SUM(G17:I17)</f>
        <v>-150000</v>
      </c>
      <c r="G17" s="52">
        <f>-'Desarrollo Ejercicio n°11 A'!E17</f>
        <v>-150000</v>
      </c>
      <c r="H17" s="47"/>
      <c r="I17" s="52"/>
      <c r="J17" s="47"/>
      <c r="K17" s="47"/>
      <c r="L17" s="51"/>
      <c r="M17" s="74"/>
    </row>
    <row r="18" spans="2:13" x14ac:dyDescent="0.2">
      <c r="B18" s="34"/>
      <c r="C18" s="38" t="s">
        <v>59</v>
      </c>
      <c r="D18" s="20"/>
      <c r="E18" s="39"/>
      <c r="F18" s="40">
        <f t="shared" ref="F18:L18" si="0">SUM(F15:F17)</f>
        <v>9970373.3859999999</v>
      </c>
      <c r="G18" s="41">
        <f t="shared" si="0"/>
        <v>9970373.3859999999</v>
      </c>
      <c r="H18" s="42">
        <f t="shared" si="0"/>
        <v>0</v>
      </c>
      <c r="I18" s="41">
        <f t="shared" si="0"/>
        <v>0</v>
      </c>
      <c r="J18" s="42">
        <f t="shared" si="0"/>
        <v>0</v>
      </c>
      <c r="K18" s="42">
        <f t="shared" si="0"/>
        <v>0</v>
      </c>
      <c r="L18" s="40">
        <f t="shared" si="0"/>
        <v>0</v>
      </c>
      <c r="M18" s="74"/>
    </row>
    <row r="19" spans="2:13" x14ac:dyDescent="0.2">
      <c r="B19" s="34"/>
      <c r="C19" s="94"/>
      <c r="D19" s="176"/>
      <c r="E19" s="267"/>
      <c r="F19" s="266"/>
      <c r="G19" s="52"/>
      <c r="H19" s="56"/>
      <c r="I19" s="52"/>
      <c r="J19" s="56"/>
      <c r="K19" s="52"/>
      <c r="L19" s="56"/>
      <c r="M19" s="74"/>
    </row>
    <row r="20" spans="2:13" x14ac:dyDescent="0.2">
      <c r="B20" s="34"/>
      <c r="C20" s="43" t="s">
        <v>177</v>
      </c>
      <c r="D20" s="8"/>
      <c r="E20" s="96">
        <v>11058000</v>
      </c>
      <c r="F20" s="51"/>
      <c r="G20" s="52"/>
      <c r="H20" s="47"/>
      <c r="I20" s="52"/>
      <c r="J20" s="47"/>
      <c r="K20" s="52"/>
      <c r="L20" s="47"/>
      <c r="M20" s="74"/>
    </row>
    <row r="21" spans="2:13" x14ac:dyDescent="0.2">
      <c r="B21" s="34"/>
      <c r="C21" s="49" t="s">
        <v>179</v>
      </c>
      <c r="D21" s="9"/>
      <c r="E21" s="51">
        <f>+F21</f>
        <v>-5452797.2048034007</v>
      </c>
      <c r="F21" s="51">
        <f>SUM(G21:I21)</f>
        <v>-5452797.2048034007</v>
      </c>
      <c r="G21" s="52">
        <f>-(+G18*H47)</f>
        <v>-5452797.2048034007</v>
      </c>
      <c r="H21" s="47">
        <v>0</v>
      </c>
      <c r="I21" s="52"/>
      <c r="J21" s="47"/>
      <c r="K21" s="52"/>
      <c r="L21" s="47"/>
      <c r="M21" s="74"/>
    </row>
    <row r="22" spans="2:13" x14ac:dyDescent="0.2">
      <c r="B22" s="34"/>
      <c r="C22" s="49" t="s">
        <v>180</v>
      </c>
      <c r="D22" s="9"/>
      <c r="E22" s="55">
        <f>+F22</f>
        <v>-4517576.1811966002</v>
      </c>
      <c r="F22" s="51">
        <f>SUM(G22:I22)</f>
        <v>-4517576.1811966002</v>
      </c>
      <c r="G22" s="52">
        <f>-(+G18*H48)</f>
        <v>-4517576.1811966002</v>
      </c>
      <c r="H22" s="47">
        <v>0</v>
      </c>
      <c r="I22" s="72"/>
      <c r="J22" s="160"/>
      <c r="K22" s="72"/>
      <c r="L22" s="160"/>
      <c r="M22" s="74"/>
    </row>
    <row r="23" spans="2:13" x14ac:dyDescent="0.2">
      <c r="B23" s="34"/>
      <c r="C23" s="159" t="s">
        <v>178</v>
      </c>
      <c r="D23" s="75"/>
      <c r="E23" s="268">
        <f>SUM(E20:E22)</f>
        <v>1087626.6139999991</v>
      </c>
      <c r="F23" s="162"/>
      <c r="G23" s="72"/>
      <c r="H23" s="160"/>
      <c r="I23" s="72"/>
      <c r="J23" s="160"/>
      <c r="K23" s="72"/>
      <c r="L23" s="160"/>
      <c r="M23" s="74"/>
    </row>
    <row r="24" spans="2:13" x14ac:dyDescent="0.2">
      <c r="B24" s="34"/>
      <c r="C24" s="221"/>
      <c r="D24" s="222"/>
      <c r="E24" s="223"/>
      <c r="F24" s="162"/>
      <c r="G24" s="72"/>
      <c r="H24" s="160"/>
      <c r="I24" s="72"/>
      <c r="J24" s="160"/>
      <c r="K24" s="72"/>
      <c r="L24" s="160"/>
      <c r="M24" s="74"/>
    </row>
    <row r="25" spans="2:13" x14ac:dyDescent="0.2">
      <c r="B25" s="34"/>
      <c r="C25" s="38" t="s">
        <v>44</v>
      </c>
      <c r="D25" s="20"/>
      <c r="E25" s="39"/>
      <c r="F25" s="42">
        <f t="shared" ref="F25:L25" si="1">SUM(F18:F24)</f>
        <v>0</v>
      </c>
      <c r="G25" s="41">
        <f t="shared" si="1"/>
        <v>0</v>
      </c>
      <c r="H25" s="42">
        <f t="shared" si="1"/>
        <v>0</v>
      </c>
      <c r="I25" s="41">
        <f t="shared" si="1"/>
        <v>0</v>
      </c>
      <c r="J25" s="42">
        <f t="shared" si="1"/>
        <v>0</v>
      </c>
      <c r="K25" s="41">
        <f t="shared" si="1"/>
        <v>0</v>
      </c>
      <c r="L25" s="42">
        <f t="shared" si="1"/>
        <v>0</v>
      </c>
      <c r="M25" s="74"/>
    </row>
    <row r="26" spans="2:13" x14ac:dyDescent="0.2">
      <c r="B26" s="34"/>
      <c r="C26" s="57"/>
      <c r="D26" s="57"/>
      <c r="E26" s="57"/>
      <c r="F26" s="19"/>
      <c r="G26" s="19"/>
      <c r="H26" s="19"/>
      <c r="I26" s="19"/>
      <c r="J26" s="19"/>
      <c r="K26" s="19"/>
      <c r="L26" s="19"/>
      <c r="M26" s="74"/>
    </row>
    <row r="27" spans="2:13" x14ac:dyDescent="0.2">
      <c r="B27" s="34"/>
      <c r="C27" s="57"/>
      <c r="D27" s="57"/>
      <c r="E27" s="57"/>
      <c r="F27" s="57"/>
      <c r="G27" s="72"/>
      <c r="H27" s="72"/>
      <c r="I27" s="72"/>
      <c r="J27" s="72"/>
      <c r="K27" s="72"/>
      <c r="L27" s="72"/>
      <c r="M27" s="74"/>
    </row>
    <row r="28" spans="2:13" x14ac:dyDescent="0.2">
      <c r="B28" s="34"/>
      <c r="C28" s="75" t="s">
        <v>45</v>
      </c>
      <c r="D28" s="75"/>
      <c r="E28" s="82" t="s">
        <v>46</v>
      </c>
      <c r="F28" s="82" t="s">
        <v>47</v>
      </c>
      <c r="G28" s="72"/>
      <c r="H28" s="72"/>
      <c r="I28" s="72"/>
      <c r="J28" s="72"/>
      <c r="K28" s="72"/>
      <c r="L28" s="72"/>
      <c r="M28" s="74"/>
    </row>
    <row r="29" spans="2:13" x14ac:dyDescent="0.2">
      <c r="B29" s="34"/>
      <c r="C29" s="72"/>
      <c r="D29" s="72"/>
      <c r="E29" s="274">
        <v>0.65</v>
      </c>
      <c r="F29" s="274">
        <v>0.35</v>
      </c>
      <c r="G29" s="72"/>
      <c r="H29" s="72"/>
      <c r="I29" s="72"/>
      <c r="J29" s="72"/>
      <c r="K29" s="72"/>
      <c r="L29" s="72"/>
      <c r="M29" s="74"/>
    </row>
    <row r="30" spans="2:13" x14ac:dyDescent="0.2">
      <c r="B30" s="34"/>
      <c r="C30" s="72" t="s">
        <v>48</v>
      </c>
      <c r="D30" s="72"/>
      <c r="E30" s="261">
        <f>+'Desarrollo Ejercicio n°11 A'!F34*65%</f>
        <v>6578242.7009000005</v>
      </c>
      <c r="F30" s="261">
        <f>+'Desarrollo Ejercicio n°11 A'!F34*35%</f>
        <v>3542130.6850999999</v>
      </c>
      <c r="G30" s="72"/>
      <c r="H30" s="72"/>
      <c r="I30" s="72"/>
      <c r="J30" s="72"/>
      <c r="K30" s="72"/>
      <c r="L30" s="72"/>
      <c r="M30" s="74"/>
    </row>
    <row r="31" spans="2:13" x14ac:dyDescent="0.2">
      <c r="B31" s="34"/>
      <c r="C31" s="72" t="str">
        <f>+'Desarrollo Ejercicio n°11 A'!C16</f>
        <v>Arriendo de Automóvil Socio N°1 (Actualizados)</v>
      </c>
      <c r="D31" s="72"/>
      <c r="E31" s="261">
        <f>+'Desarrollo Ejercicio n°11 A'!E16</f>
        <v>1250000</v>
      </c>
      <c r="F31" s="261">
        <v>0</v>
      </c>
      <c r="G31" s="72"/>
      <c r="H31" s="72"/>
      <c r="I31" s="72"/>
      <c r="J31" s="72"/>
      <c r="K31" s="72"/>
      <c r="L31" s="72"/>
      <c r="M31" s="74"/>
    </row>
    <row r="32" spans="2:13" x14ac:dyDescent="0.2">
      <c r="B32" s="34"/>
      <c r="C32" s="75" t="s">
        <v>49</v>
      </c>
      <c r="D32" s="75"/>
      <c r="E32" s="90">
        <f>SUM(E30:E31)</f>
        <v>7828242.7009000005</v>
      </c>
      <c r="F32" s="90">
        <f>SUM(F30:F31)</f>
        <v>3542130.6850999999</v>
      </c>
      <c r="G32" s="72"/>
      <c r="H32" s="72"/>
      <c r="I32" s="72"/>
      <c r="J32" s="72"/>
      <c r="K32" s="72"/>
      <c r="L32" s="72"/>
      <c r="M32" s="74"/>
    </row>
    <row r="33" spans="2:13" x14ac:dyDescent="0.2">
      <c r="B33" s="34"/>
      <c r="C33" s="72" t="s">
        <v>186</v>
      </c>
      <c r="D33" s="57"/>
      <c r="E33" s="261">
        <v>125000</v>
      </c>
      <c r="F33" s="57"/>
      <c r="G33" s="72"/>
      <c r="H33" s="72"/>
      <c r="I33" s="72"/>
      <c r="J33" s="72"/>
      <c r="K33" s="72"/>
      <c r="L33" s="72"/>
      <c r="M33" s="74"/>
    </row>
    <row r="34" spans="2:13" x14ac:dyDescent="0.2">
      <c r="B34" s="34"/>
      <c r="C34" s="57"/>
      <c r="D34" s="57"/>
      <c r="E34" s="57"/>
      <c r="F34" s="57"/>
      <c r="G34" s="72"/>
      <c r="H34" s="72"/>
      <c r="I34" s="72"/>
      <c r="J34" s="72"/>
      <c r="K34" s="72"/>
      <c r="L34" s="72"/>
      <c r="M34" s="74"/>
    </row>
    <row r="35" spans="2:13" x14ac:dyDescent="0.2">
      <c r="B35" s="34"/>
      <c r="C35" s="6" t="s">
        <v>182</v>
      </c>
      <c r="D35" s="57"/>
      <c r="E35" s="82" t="s">
        <v>46</v>
      </c>
      <c r="F35" s="82" t="s">
        <v>47</v>
      </c>
      <c r="G35" s="82" t="s">
        <v>161</v>
      </c>
      <c r="H35" s="72"/>
      <c r="I35" s="72"/>
      <c r="J35" s="72"/>
      <c r="K35" s="72"/>
      <c r="L35" s="72"/>
      <c r="M35" s="74"/>
    </row>
    <row r="36" spans="2:13" x14ac:dyDescent="0.2">
      <c r="B36" s="34"/>
      <c r="C36" s="72" t="s">
        <v>178</v>
      </c>
      <c r="D36" s="72"/>
      <c r="E36" s="89">
        <f>+G47+E21</f>
        <v>595202.79519659933</v>
      </c>
      <c r="F36" s="89">
        <f>+G48+E22</f>
        <v>492423.8188033998</v>
      </c>
      <c r="G36" s="89">
        <f>SUM(E36:F36)</f>
        <v>1087626.6139999991</v>
      </c>
      <c r="H36" s="72"/>
      <c r="I36" s="72"/>
      <c r="J36" s="72"/>
      <c r="K36" s="72"/>
      <c r="L36" s="72"/>
      <c r="M36" s="74"/>
    </row>
    <row r="37" spans="2:13" x14ac:dyDescent="0.2">
      <c r="B37" s="34"/>
      <c r="C37" s="9" t="s">
        <v>183</v>
      </c>
      <c r="D37" s="9">
        <v>1.3333330000000001</v>
      </c>
      <c r="E37" s="270">
        <f>ROUND(E36*D37,0)</f>
        <v>793604</v>
      </c>
      <c r="F37" s="270">
        <f>ROUND(F36*D37,0)</f>
        <v>656565</v>
      </c>
      <c r="G37" s="270">
        <f>SUM(E37:F37)</f>
        <v>1450169</v>
      </c>
      <c r="H37" s="72"/>
      <c r="I37" s="72"/>
      <c r="J37" s="72"/>
      <c r="K37" s="72"/>
      <c r="L37" s="72"/>
      <c r="M37" s="74"/>
    </row>
    <row r="38" spans="2:13" x14ac:dyDescent="0.2">
      <c r="B38" s="34"/>
      <c r="C38" s="75" t="s">
        <v>184</v>
      </c>
      <c r="D38" s="271">
        <v>0.25</v>
      </c>
      <c r="E38" s="165">
        <f>+E37*D38</f>
        <v>198401</v>
      </c>
      <c r="F38" s="165">
        <f>+F37*D38</f>
        <v>164141.25</v>
      </c>
      <c r="G38" s="165">
        <f>SUM(E38:F38)</f>
        <v>362542.25</v>
      </c>
      <c r="H38" s="72"/>
      <c r="I38" s="72"/>
      <c r="J38" s="72"/>
      <c r="K38" s="72"/>
      <c r="L38" s="72"/>
      <c r="M38" s="74"/>
    </row>
    <row r="39" spans="2:13" x14ac:dyDescent="0.2">
      <c r="B39" s="34"/>
      <c r="C39" s="72"/>
      <c r="D39" s="269"/>
      <c r="E39" s="89"/>
      <c r="F39" s="89"/>
      <c r="G39" s="89"/>
      <c r="H39" s="72"/>
      <c r="I39" s="72"/>
      <c r="J39" s="72"/>
      <c r="K39" s="72"/>
      <c r="L39" s="72"/>
      <c r="M39" s="74"/>
    </row>
    <row r="40" spans="2:13" x14ac:dyDescent="0.2">
      <c r="B40" s="34"/>
      <c r="C40" s="72"/>
      <c r="D40" s="269"/>
      <c r="E40" s="89"/>
      <c r="F40" s="89"/>
      <c r="G40" s="89"/>
      <c r="H40" s="72"/>
      <c r="I40" s="72"/>
      <c r="J40" s="72"/>
      <c r="K40" s="72"/>
      <c r="L40" s="72"/>
      <c r="M40" s="74"/>
    </row>
    <row r="41" spans="2:13" x14ac:dyDescent="0.2">
      <c r="B41" s="34"/>
      <c r="C41" s="163" t="s">
        <v>181</v>
      </c>
      <c r="D41" s="269"/>
      <c r="E41" s="89"/>
      <c r="F41" s="89"/>
      <c r="G41" s="89"/>
      <c r="H41" s="72"/>
      <c r="I41" s="72"/>
      <c r="J41" s="72"/>
      <c r="K41" s="72"/>
      <c r="L41" s="72"/>
      <c r="M41" s="74"/>
    </row>
    <row r="42" spans="2:13" x14ac:dyDescent="0.2">
      <c r="B42" s="34"/>
      <c r="C42" s="57"/>
      <c r="D42" s="57"/>
      <c r="E42" s="57"/>
      <c r="F42" s="57"/>
      <c r="G42" s="72"/>
      <c r="H42" s="72"/>
      <c r="I42" s="72"/>
      <c r="J42" s="72"/>
      <c r="K42" s="72"/>
      <c r="L42" s="72"/>
      <c r="M42" s="74"/>
    </row>
    <row r="43" spans="2:13" ht="38.25" x14ac:dyDescent="0.2">
      <c r="B43" s="34"/>
      <c r="C43" s="275" t="s">
        <v>51</v>
      </c>
      <c r="D43" s="36" t="s">
        <v>62</v>
      </c>
      <c r="E43" s="77" t="s">
        <v>63</v>
      </c>
      <c r="G43" s="72"/>
      <c r="H43" s="72"/>
      <c r="I43" s="72"/>
      <c r="J43" s="72"/>
      <c r="K43" s="72"/>
      <c r="L43" s="72"/>
      <c r="M43" s="74"/>
    </row>
    <row r="44" spans="2:13" x14ac:dyDescent="0.2">
      <c r="B44" s="34"/>
      <c r="C44" s="276">
        <f>+'Desarrollo Ejercicio n°11 A'!E31</f>
        <v>2900000</v>
      </c>
      <c r="D44" s="60">
        <v>0.369863</v>
      </c>
      <c r="E44" s="262">
        <f>+'Desarrollo Ejercicio n°11 A'!E31*D44</f>
        <v>1072602.7</v>
      </c>
      <c r="G44" s="72"/>
      <c r="H44" s="72"/>
      <c r="I44" s="72"/>
      <c r="J44" s="57"/>
      <c r="K44" s="7"/>
      <c r="L44" s="72"/>
      <c r="M44" s="74"/>
    </row>
    <row r="45" spans="2:13" x14ac:dyDescent="0.2">
      <c r="B45" s="34"/>
      <c r="C45" s="57"/>
      <c r="D45" s="57"/>
      <c r="E45" s="57"/>
      <c r="F45" s="57"/>
      <c r="G45" s="57"/>
      <c r="H45" s="57"/>
      <c r="I45" s="72"/>
      <c r="J45" s="57"/>
      <c r="K45" s="7"/>
      <c r="L45" s="72"/>
      <c r="M45" s="74"/>
    </row>
    <row r="46" spans="2:13" x14ac:dyDescent="0.2">
      <c r="B46" s="34"/>
      <c r="C46" s="72"/>
      <c r="D46" s="72"/>
      <c r="E46" s="196" t="s">
        <v>53</v>
      </c>
      <c r="F46" s="196" t="s">
        <v>54</v>
      </c>
      <c r="G46" s="195" t="s">
        <v>55</v>
      </c>
      <c r="H46" s="196" t="s">
        <v>23</v>
      </c>
      <c r="I46" s="57"/>
      <c r="J46" s="57"/>
      <c r="K46" s="7"/>
      <c r="L46" s="72"/>
      <c r="M46" s="74"/>
    </row>
    <row r="47" spans="2:13" x14ac:dyDescent="0.2">
      <c r="B47" s="34"/>
      <c r="C47" s="263" t="s">
        <v>46</v>
      </c>
      <c r="D47" s="263" t="s">
        <v>187</v>
      </c>
      <c r="E47" s="56">
        <v>6000000</v>
      </c>
      <c r="F47" s="61">
        <v>8.0000000000000002E-3</v>
      </c>
      <c r="G47" s="62">
        <f>ROUND(E47*F47,0)+E47</f>
        <v>6048000</v>
      </c>
      <c r="H47" s="63">
        <f>ROUND(G47/G49,4)</f>
        <v>0.54690000000000005</v>
      </c>
      <c r="I47" s="57"/>
      <c r="J47" s="57"/>
      <c r="K47" s="7"/>
      <c r="L47" s="72"/>
      <c r="M47" s="74"/>
    </row>
    <row r="48" spans="2:13" x14ac:dyDescent="0.2">
      <c r="B48" s="34"/>
      <c r="C48" s="166" t="s">
        <v>47</v>
      </c>
      <c r="D48" s="166" t="s">
        <v>188</v>
      </c>
      <c r="E48" s="64">
        <v>5000000</v>
      </c>
      <c r="F48" s="65">
        <v>2E-3</v>
      </c>
      <c r="G48" s="59">
        <f>ROUND(E48*F48,0)+E48</f>
        <v>5010000</v>
      </c>
      <c r="H48" s="66">
        <f>ROUND(G48/G49,4)</f>
        <v>0.4531</v>
      </c>
      <c r="I48" s="57"/>
      <c r="J48" s="57"/>
      <c r="K48" s="7"/>
      <c r="L48" s="72"/>
      <c r="M48" s="74"/>
    </row>
    <row r="49" spans="2:13" x14ac:dyDescent="0.2">
      <c r="B49" s="34"/>
      <c r="C49" s="57"/>
      <c r="D49" s="57"/>
      <c r="E49" s="57"/>
      <c r="F49" s="57"/>
      <c r="G49" s="67">
        <f>SUM(G47:G48)</f>
        <v>11058000</v>
      </c>
      <c r="H49" s="68">
        <v>1</v>
      </c>
      <c r="I49" s="57"/>
      <c r="J49" s="57"/>
      <c r="K49" s="7"/>
      <c r="L49" s="72"/>
      <c r="M49" s="74"/>
    </row>
    <row r="50" spans="2:13" ht="13.5" thickBot="1" x14ac:dyDescent="0.25">
      <c r="B50" s="167"/>
      <c r="C50" s="88"/>
      <c r="D50" s="88"/>
      <c r="E50" s="88"/>
      <c r="F50" s="88"/>
      <c r="G50" s="88"/>
      <c r="H50" s="88"/>
      <c r="I50" s="88"/>
      <c r="J50" s="88"/>
      <c r="K50" s="88"/>
      <c r="L50" s="88"/>
      <c r="M50" s="264"/>
    </row>
  </sheetData>
  <mergeCells count="8">
    <mergeCell ref="L11:L12"/>
    <mergeCell ref="C7:L8"/>
    <mergeCell ref="C11:C12"/>
    <mergeCell ref="F11:F12"/>
    <mergeCell ref="G11:G12"/>
    <mergeCell ref="H11:H12"/>
    <mergeCell ref="I11:I12"/>
    <mergeCell ref="J11:K11"/>
  </mergeCells>
  <pageMargins left="0.7" right="0.7" top="0.75" bottom="0.75" header="0.3" footer="0.3"/>
  <pageSetup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85"/>
  <sheetViews>
    <sheetView showGridLines="0" zoomScale="80" zoomScaleNormal="80" workbookViewId="0">
      <selection activeCell="C4" sqref="C4:C6"/>
    </sheetView>
  </sheetViews>
  <sheetFormatPr baseColWidth="10" defaultColWidth="11.42578125" defaultRowHeight="12.75" x14ac:dyDescent="0.2"/>
  <cols>
    <col min="1" max="2" width="11.42578125" style="32"/>
    <col min="3" max="3" width="3.5703125" style="134" bestFit="1" customWidth="1"/>
    <col min="4" max="4" width="3.85546875" style="32" customWidth="1"/>
    <col min="5" max="5" width="52.42578125" style="32" bestFit="1" customWidth="1"/>
    <col min="6" max="6" width="14.42578125" style="32" customWidth="1"/>
    <col min="7" max="7" width="11.85546875" style="32" bestFit="1" customWidth="1"/>
    <col min="8" max="8" width="14" style="32" bestFit="1" customWidth="1"/>
    <col min="9" max="9" width="11.42578125" style="32"/>
    <col min="10" max="10" width="10.5703125" style="119" bestFit="1" customWidth="1"/>
    <col min="11" max="13" width="11.28515625" style="119" bestFit="1" customWidth="1"/>
    <col min="14" max="14" width="15.140625" style="32" bestFit="1" customWidth="1"/>
    <col min="15" max="15" width="13.7109375" style="32" bestFit="1" customWidth="1"/>
    <col min="16" max="16384" width="11.42578125" style="32"/>
  </cols>
  <sheetData>
    <row r="1" spans="2:10" s="119" customFormat="1" x14ac:dyDescent="0.2">
      <c r="B1" s="32"/>
      <c r="C1" s="134"/>
      <c r="D1" s="32"/>
      <c r="E1" s="32"/>
      <c r="F1" s="32"/>
      <c r="G1" s="32"/>
      <c r="H1" s="32"/>
      <c r="I1" s="32"/>
    </row>
    <row r="2" spans="2:10" s="119" customFormat="1" ht="13.5" thickBot="1" x14ac:dyDescent="0.25">
      <c r="B2" s="32"/>
      <c r="C2" s="134"/>
      <c r="D2" s="32"/>
      <c r="E2" s="32"/>
      <c r="F2" s="32"/>
      <c r="G2" s="32"/>
      <c r="H2" s="32"/>
      <c r="I2" s="32"/>
    </row>
    <row r="3" spans="2:10" s="119" customFormat="1" ht="13.5" thickBot="1" x14ac:dyDescent="0.25">
      <c r="B3" s="135"/>
      <c r="C3" s="1"/>
      <c r="D3" s="136"/>
      <c r="E3" s="136"/>
      <c r="F3" s="136"/>
      <c r="G3" s="136"/>
      <c r="H3" s="136"/>
      <c r="I3" s="136"/>
      <c r="J3" s="137"/>
    </row>
    <row r="4" spans="2:10" s="119" customFormat="1" x14ac:dyDescent="0.2">
      <c r="B4" s="138"/>
      <c r="C4" s="1" t="s">
        <v>234</v>
      </c>
      <c r="D4" s="7"/>
      <c r="E4" s="7"/>
      <c r="F4" s="7"/>
      <c r="G4" s="7"/>
      <c r="H4" s="7"/>
      <c r="I4" s="7"/>
      <c r="J4" s="139"/>
    </row>
    <row r="5" spans="2:10" s="119" customFormat="1" x14ac:dyDescent="0.2">
      <c r="B5" s="138"/>
      <c r="C5" s="394" t="s">
        <v>235</v>
      </c>
      <c r="D5" s="7"/>
      <c r="E5" s="7"/>
      <c r="F5" s="7"/>
      <c r="G5" s="7"/>
      <c r="H5" s="7"/>
      <c r="I5" s="7"/>
      <c r="J5" s="139"/>
    </row>
    <row r="6" spans="2:10" s="119" customFormat="1" x14ac:dyDescent="0.2">
      <c r="B6" s="138"/>
      <c r="C6" s="394" t="s">
        <v>236</v>
      </c>
      <c r="D6" s="7"/>
      <c r="E6" s="7"/>
      <c r="F6" s="7"/>
      <c r="G6" s="7"/>
      <c r="H6" s="7"/>
      <c r="I6" s="7"/>
      <c r="J6" s="139"/>
    </row>
    <row r="7" spans="2:10" s="119" customFormat="1" x14ac:dyDescent="0.2">
      <c r="B7" s="138"/>
      <c r="C7" s="140"/>
      <c r="D7" s="7"/>
      <c r="E7" s="7"/>
      <c r="F7" s="7"/>
      <c r="G7" s="7"/>
      <c r="H7" s="7"/>
      <c r="I7" s="7"/>
      <c r="J7" s="139"/>
    </row>
    <row r="8" spans="2:10" s="119" customFormat="1" ht="15.75" customHeight="1" x14ac:dyDescent="0.2">
      <c r="B8" s="138"/>
      <c r="C8" s="359" t="s">
        <v>208</v>
      </c>
      <c r="D8" s="359"/>
      <c r="E8" s="359"/>
      <c r="F8" s="359"/>
      <c r="G8" s="359"/>
      <c r="H8" s="359"/>
      <c r="I8" s="359"/>
      <c r="J8" s="139"/>
    </row>
    <row r="9" spans="2:10" s="119" customFormat="1" ht="15.75" customHeight="1" x14ac:dyDescent="0.2">
      <c r="B9" s="138"/>
      <c r="C9" s="359"/>
      <c r="D9" s="359"/>
      <c r="E9" s="359"/>
      <c r="F9" s="359"/>
      <c r="G9" s="359"/>
      <c r="H9" s="359"/>
      <c r="I9" s="359"/>
      <c r="J9" s="139"/>
    </row>
    <row r="10" spans="2:10" s="119" customFormat="1" x14ac:dyDescent="0.2">
      <c r="B10" s="138"/>
      <c r="C10" s="140"/>
      <c r="D10" s="7"/>
      <c r="E10" s="7"/>
      <c r="F10" s="7"/>
      <c r="G10" s="7"/>
      <c r="H10" s="7"/>
      <c r="I10" s="7"/>
      <c r="J10" s="139"/>
    </row>
    <row r="11" spans="2:10" s="119" customFormat="1" ht="12.75" customHeight="1" x14ac:dyDescent="0.2">
      <c r="B11" s="138"/>
      <c r="C11" s="349" t="s">
        <v>194</v>
      </c>
      <c r="D11" s="349"/>
      <c r="E11" s="349"/>
      <c r="F11" s="349"/>
      <c r="G11" s="349"/>
      <c r="H11" s="349"/>
      <c r="I11" s="349"/>
      <c r="J11" s="139"/>
    </row>
    <row r="12" spans="2:10" s="119" customFormat="1" x14ac:dyDescent="0.2">
      <c r="B12" s="138"/>
      <c r="C12" s="349"/>
      <c r="D12" s="349"/>
      <c r="E12" s="349"/>
      <c r="F12" s="349"/>
      <c r="G12" s="349"/>
      <c r="H12" s="349"/>
      <c r="I12" s="349"/>
      <c r="J12" s="139"/>
    </row>
    <row r="13" spans="2:10" s="119" customFormat="1" ht="26.25" customHeight="1" x14ac:dyDescent="0.2">
      <c r="B13" s="138"/>
      <c r="C13" s="349"/>
      <c r="D13" s="349"/>
      <c r="E13" s="349"/>
      <c r="F13" s="349"/>
      <c r="G13" s="349"/>
      <c r="H13" s="349"/>
      <c r="I13" s="349"/>
      <c r="J13" s="139"/>
    </row>
    <row r="14" spans="2:10" s="119" customFormat="1" x14ac:dyDescent="0.2">
      <c r="B14" s="138"/>
      <c r="C14" s="140"/>
      <c r="D14" s="193"/>
      <c r="E14" s="193"/>
      <c r="F14" s="193"/>
      <c r="G14" s="193"/>
      <c r="H14" s="193"/>
      <c r="I14" s="193"/>
      <c r="J14" s="139"/>
    </row>
    <row r="15" spans="2:10" s="119" customFormat="1" x14ac:dyDescent="0.2">
      <c r="B15" s="138"/>
      <c r="C15" s="140" t="s">
        <v>0</v>
      </c>
      <c r="D15" s="350" t="s">
        <v>151</v>
      </c>
      <c r="E15" s="350"/>
      <c r="F15" s="350"/>
      <c r="G15" s="350"/>
      <c r="H15" s="350"/>
      <c r="I15" s="350"/>
      <c r="J15" s="139"/>
    </row>
    <row r="16" spans="2:10" s="119" customFormat="1" x14ac:dyDescent="0.2">
      <c r="B16" s="138"/>
      <c r="C16" s="140"/>
      <c r="D16" s="350"/>
      <c r="E16" s="350"/>
      <c r="F16" s="350"/>
      <c r="G16" s="350"/>
      <c r="H16" s="350"/>
      <c r="I16" s="350"/>
      <c r="J16" s="139"/>
    </row>
    <row r="17" spans="2:15" s="119" customFormat="1" x14ac:dyDescent="0.2">
      <c r="B17" s="138"/>
      <c r="C17" s="140"/>
      <c r="D17" s="197"/>
      <c r="E17" s="197"/>
      <c r="F17" s="197"/>
      <c r="G17" s="197"/>
      <c r="H17" s="197"/>
      <c r="I17" s="197"/>
      <c r="J17" s="139"/>
    </row>
    <row r="18" spans="2:15" s="119" customFormat="1" x14ac:dyDescent="0.2">
      <c r="B18" s="138"/>
      <c r="C18" s="9" t="s">
        <v>1</v>
      </c>
      <c r="D18" s="141" t="s">
        <v>125</v>
      </c>
      <c r="E18" s="141"/>
      <c r="F18" s="141"/>
      <c r="G18" s="141"/>
      <c r="H18" s="141"/>
      <c r="I18" s="141"/>
      <c r="J18" s="139"/>
    </row>
    <row r="19" spans="2:15" s="119" customFormat="1" x14ac:dyDescent="0.2">
      <c r="B19" s="138"/>
      <c r="C19" s="9"/>
      <c r="D19" s="141"/>
      <c r="E19" s="141"/>
      <c r="F19" s="141"/>
      <c r="G19" s="141"/>
      <c r="H19" s="141"/>
      <c r="I19" s="141"/>
      <c r="J19" s="139"/>
    </row>
    <row r="20" spans="2:15" x14ac:dyDescent="0.2">
      <c r="B20" s="138"/>
      <c r="C20" s="9"/>
      <c r="D20" s="141"/>
      <c r="E20" s="72" t="s">
        <v>203</v>
      </c>
      <c r="F20" s="142">
        <v>2000000</v>
      </c>
      <c r="G20" s="141"/>
      <c r="H20" s="141"/>
      <c r="I20" s="141"/>
      <c r="J20" s="139"/>
    </row>
    <row r="21" spans="2:15" x14ac:dyDescent="0.2">
      <c r="B21" s="138"/>
      <c r="C21" s="9"/>
      <c r="D21" s="141"/>
      <c r="E21" s="72" t="s">
        <v>72</v>
      </c>
      <c r="F21" s="142">
        <v>480000</v>
      </c>
      <c r="G21" s="141"/>
      <c r="H21" s="141"/>
      <c r="I21" s="141"/>
      <c r="J21" s="139"/>
    </row>
    <row r="22" spans="2:15" x14ac:dyDescent="0.2">
      <c r="B22" s="138"/>
      <c r="C22" s="9"/>
      <c r="D22" s="141"/>
      <c r="E22" s="72" t="s">
        <v>73</v>
      </c>
      <c r="F22" s="143">
        <f>+F27</f>
        <v>0.31578899999999999</v>
      </c>
      <c r="G22" s="141"/>
      <c r="H22" s="141"/>
      <c r="I22" s="141"/>
      <c r="J22" s="139"/>
    </row>
    <row r="23" spans="2:15" x14ac:dyDescent="0.2">
      <c r="B23" s="138"/>
      <c r="C23" s="9"/>
      <c r="D23" s="141"/>
      <c r="E23" s="72"/>
      <c r="F23" s="72"/>
      <c r="G23" s="141"/>
      <c r="H23" s="141"/>
      <c r="I23" s="141"/>
      <c r="J23" s="139"/>
    </row>
    <row r="24" spans="2:15" x14ac:dyDescent="0.2">
      <c r="B24" s="138"/>
      <c r="C24" s="9"/>
      <c r="D24" s="141"/>
      <c r="E24" s="75" t="s">
        <v>74</v>
      </c>
      <c r="F24" s="72"/>
      <c r="G24" s="141"/>
      <c r="H24" s="141"/>
      <c r="I24" s="141"/>
      <c r="J24" s="139"/>
    </row>
    <row r="25" spans="2:15" x14ac:dyDescent="0.2">
      <c r="B25" s="138"/>
      <c r="C25" s="9"/>
      <c r="D25" s="141"/>
      <c r="E25" s="72" t="s">
        <v>204</v>
      </c>
      <c r="F25" s="144">
        <f>+F21</f>
        <v>480000</v>
      </c>
      <c r="G25" s="141"/>
      <c r="H25" s="141"/>
      <c r="I25" s="141"/>
      <c r="J25" s="139"/>
    </row>
    <row r="26" spans="2:15" x14ac:dyDescent="0.2">
      <c r="B26" s="138"/>
      <c r="C26" s="9"/>
      <c r="D26" s="141"/>
      <c r="E26" s="72" t="s">
        <v>205</v>
      </c>
      <c r="F26" s="142">
        <f>+F20-F21</f>
        <v>1520000</v>
      </c>
      <c r="G26" s="141"/>
      <c r="H26" s="141"/>
      <c r="I26" s="141"/>
      <c r="J26" s="139"/>
    </row>
    <row r="27" spans="2:15" x14ac:dyDescent="0.2">
      <c r="B27" s="138"/>
      <c r="C27" s="9"/>
      <c r="D27" s="141"/>
      <c r="E27" s="145" t="s">
        <v>75</v>
      </c>
      <c r="F27" s="146">
        <f>+ROUND(F25/F26,6)</f>
        <v>0.31578899999999999</v>
      </c>
      <c r="G27" s="141"/>
      <c r="H27" s="141"/>
      <c r="I27" s="141"/>
      <c r="J27" s="139"/>
    </row>
    <row r="28" spans="2:15" x14ac:dyDescent="0.2">
      <c r="B28" s="138"/>
      <c r="C28" s="140"/>
      <c r="D28" s="197"/>
      <c r="E28" s="197"/>
      <c r="F28" s="197"/>
      <c r="G28" s="197"/>
      <c r="H28" s="197"/>
      <c r="I28" s="197"/>
      <c r="J28" s="139"/>
    </row>
    <row r="29" spans="2:15" x14ac:dyDescent="0.2">
      <c r="B29" s="138"/>
      <c r="C29" s="140"/>
      <c r="D29" s="197"/>
      <c r="E29" s="197"/>
      <c r="F29" s="197"/>
      <c r="G29" s="197"/>
      <c r="H29" s="197"/>
      <c r="I29" s="197"/>
      <c r="J29" s="139"/>
    </row>
    <row r="30" spans="2:15" ht="12.75" customHeight="1" x14ac:dyDescent="0.2">
      <c r="B30" s="138"/>
      <c r="C30" s="360" t="s">
        <v>126</v>
      </c>
      <c r="D30" s="360"/>
      <c r="E30" s="360"/>
      <c r="F30" s="360"/>
      <c r="G30" s="360"/>
      <c r="H30" s="360"/>
      <c r="I30" s="360"/>
      <c r="J30" s="139"/>
    </row>
    <row r="31" spans="2:15" x14ac:dyDescent="0.2">
      <c r="B31" s="138"/>
      <c r="C31" s="140"/>
      <c r="D31" s="91">
        <v>-5405210</v>
      </c>
      <c r="E31" s="198"/>
      <c r="F31" s="198"/>
      <c r="G31" s="198"/>
      <c r="H31" s="198"/>
      <c r="I31" s="198"/>
      <c r="J31" s="139"/>
    </row>
    <row r="32" spans="2:15" x14ac:dyDescent="0.2">
      <c r="B32" s="138"/>
      <c r="C32" s="140" t="s">
        <v>2</v>
      </c>
      <c r="D32" s="7" t="s">
        <v>206</v>
      </c>
      <c r="E32" s="197"/>
      <c r="F32" s="197"/>
      <c r="G32" s="197"/>
      <c r="H32" s="197"/>
      <c r="I32" s="7"/>
      <c r="J32" s="139"/>
      <c r="O32" s="92"/>
    </row>
    <row r="33" spans="2:10" x14ac:dyDescent="0.2">
      <c r="B33" s="138"/>
      <c r="C33" s="140"/>
      <c r="D33" s="7"/>
      <c r="E33" s="197"/>
      <c r="F33" s="197"/>
      <c r="G33" s="197"/>
      <c r="H33" s="197"/>
      <c r="I33" s="7"/>
      <c r="J33" s="139"/>
    </row>
    <row r="34" spans="2:10" x14ac:dyDescent="0.2">
      <c r="B34" s="138"/>
      <c r="C34" s="140"/>
      <c r="D34" s="7"/>
      <c r="E34" s="197"/>
      <c r="F34" s="197"/>
      <c r="G34" s="197"/>
      <c r="H34" s="197"/>
      <c r="I34" s="7"/>
      <c r="J34" s="139"/>
    </row>
    <row r="35" spans="2:10" ht="12.75" customHeight="1" x14ac:dyDescent="0.2">
      <c r="B35" s="138"/>
      <c r="C35" s="140" t="s">
        <v>4</v>
      </c>
      <c r="D35" s="345" t="s">
        <v>152</v>
      </c>
      <c r="E35" s="345"/>
      <c r="F35" s="345"/>
      <c r="G35" s="345"/>
      <c r="H35" s="345"/>
      <c r="I35" s="345"/>
      <c r="J35" s="139"/>
    </row>
    <row r="36" spans="2:10" x14ac:dyDescent="0.2">
      <c r="B36" s="138"/>
      <c r="C36" s="7"/>
      <c r="D36" s="345"/>
      <c r="E36" s="345"/>
      <c r="F36" s="345"/>
      <c r="G36" s="345"/>
      <c r="H36" s="345"/>
      <c r="I36" s="345"/>
      <c r="J36" s="139"/>
    </row>
    <row r="37" spans="2:10" x14ac:dyDescent="0.2">
      <c r="B37" s="138"/>
      <c r="C37" s="140"/>
      <c r="D37" s="7"/>
      <c r="E37" s="197"/>
      <c r="F37" s="197"/>
      <c r="G37" s="197"/>
      <c r="H37" s="197"/>
      <c r="I37" s="7"/>
      <c r="J37" s="139"/>
    </row>
    <row r="38" spans="2:10" ht="12.75" customHeight="1" x14ac:dyDescent="0.2">
      <c r="B38" s="138"/>
      <c r="D38" s="345" t="s">
        <v>153</v>
      </c>
      <c r="E38" s="345"/>
      <c r="F38" s="345"/>
      <c r="G38" s="345"/>
      <c r="H38" s="345"/>
      <c r="I38" s="345"/>
      <c r="J38" s="139"/>
    </row>
    <row r="39" spans="2:10" x14ac:dyDescent="0.2">
      <c r="B39" s="138"/>
      <c r="C39" s="140" t="s">
        <v>5</v>
      </c>
      <c r="D39" s="345"/>
      <c r="E39" s="345"/>
      <c r="F39" s="345"/>
      <c r="G39" s="345"/>
      <c r="H39" s="345"/>
      <c r="I39" s="345"/>
      <c r="J39" s="139"/>
    </row>
    <row r="40" spans="2:10" x14ac:dyDescent="0.2">
      <c r="B40" s="138"/>
      <c r="C40" s="7"/>
      <c r="D40" s="345"/>
      <c r="E40" s="345"/>
      <c r="F40" s="345"/>
      <c r="G40" s="345"/>
      <c r="H40" s="345"/>
      <c r="I40" s="345"/>
      <c r="J40" s="139"/>
    </row>
    <row r="41" spans="2:10" x14ac:dyDescent="0.2">
      <c r="B41" s="138"/>
      <c r="C41" s="7"/>
      <c r="D41" s="194"/>
      <c r="E41" s="194"/>
      <c r="F41" s="194"/>
      <c r="G41" s="296" t="s">
        <v>141</v>
      </c>
      <c r="H41" s="296" t="s">
        <v>52</v>
      </c>
      <c r="I41" s="194"/>
      <c r="J41" s="139"/>
    </row>
    <row r="42" spans="2:10" x14ac:dyDescent="0.2">
      <c r="B42" s="138"/>
      <c r="C42" s="7"/>
      <c r="D42" s="9" t="s">
        <v>219</v>
      </c>
      <c r="E42" s="194"/>
      <c r="F42" s="194"/>
      <c r="G42" s="15">
        <v>1000000</v>
      </c>
      <c r="H42" s="15">
        <f>+G42*0.342281</f>
        <v>342281</v>
      </c>
      <c r="I42" s="194"/>
      <c r="J42" s="139"/>
    </row>
    <row r="43" spans="2:10" x14ac:dyDescent="0.2">
      <c r="B43" s="138"/>
      <c r="C43" s="7"/>
      <c r="D43" s="9" t="s">
        <v>220</v>
      </c>
      <c r="E43" s="194"/>
      <c r="F43" s="194"/>
      <c r="G43" s="15">
        <v>500000</v>
      </c>
      <c r="H43" s="15">
        <f>+G43*'Desarrollo Ejercicio n°11 B y C'!D44</f>
        <v>184931.5</v>
      </c>
      <c r="I43" s="194"/>
      <c r="J43" s="139"/>
    </row>
    <row r="44" spans="2:10" x14ac:dyDescent="0.2">
      <c r="B44" s="138"/>
      <c r="C44" s="7"/>
      <c r="D44" s="9" t="s">
        <v>221</v>
      </c>
      <c r="E44" s="194"/>
      <c r="F44" s="194"/>
      <c r="G44" s="15">
        <v>350000</v>
      </c>
      <c r="H44" s="199"/>
      <c r="I44" s="194"/>
      <c r="J44" s="139"/>
    </row>
    <row r="45" spans="2:10" x14ac:dyDescent="0.2">
      <c r="B45" s="138"/>
      <c r="C45" s="7"/>
      <c r="D45" s="8" t="s">
        <v>121</v>
      </c>
      <c r="E45" s="168"/>
      <c r="F45" s="168"/>
      <c r="G45" s="87">
        <f>SUM(G42:G44)</f>
        <v>1850000</v>
      </c>
      <c r="H45" s="194"/>
      <c r="I45" s="194"/>
      <c r="J45" s="139"/>
    </row>
    <row r="46" spans="2:10" x14ac:dyDescent="0.2">
      <c r="B46" s="138"/>
      <c r="C46" s="7"/>
      <c r="D46" s="9"/>
      <c r="E46" s="194"/>
      <c r="F46" s="194"/>
      <c r="G46" s="15"/>
      <c r="H46" s="194"/>
      <c r="I46" s="194"/>
      <c r="J46" s="139"/>
    </row>
    <row r="47" spans="2:10" x14ac:dyDescent="0.2">
      <c r="B47" s="138"/>
      <c r="C47" s="140" t="s">
        <v>64</v>
      </c>
      <c r="D47" s="7" t="s">
        <v>154</v>
      </c>
      <c r="E47" s="197"/>
      <c r="F47" s="197"/>
      <c r="G47" s="197"/>
      <c r="H47" s="197"/>
      <c r="I47" s="7"/>
      <c r="J47" s="139"/>
    </row>
    <row r="48" spans="2:10" x14ac:dyDescent="0.2">
      <c r="B48" s="138"/>
      <c r="C48" s="140"/>
      <c r="D48" s="7"/>
      <c r="E48" s="197"/>
      <c r="F48" s="197"/>
      <c r="G48" s="197"/>
      <c r="H48" s="197"/>
      <c r="I48" s="7"/>
      <c r="J48" s="139"/>
    </row>
    <row r="49" spans="2:11" x14ac:dyDescent="0.2">
      <c r="B49" s="138"/>
      <c r="C49" s="7"/>
      <c r="D49" s="4" t="s">
        <v>142</v>
      </c>
      <c r="E49" s="197"/>
      <c r="F49" s="197"/>
      <c r="G49" s="197"/>
      <c r="H49" s="197"/>
      <c r="I49" s="7"/>
      <c r="J49" s="139"/>
    </row>
    <row r="50" spans="2:11" x14ac:dyDescent="0.2">
      <c r="B50" s="138"/>
      <c r="C50" s="7"/>
      <c r="D50" s="7"/>
      <c r="E50" s="197"/>
      <c r="F50" s="197"/>
      <c r="G50" s="197"/>
      <c r="H50" s="197"/>
      <c r="I50" s="7"/>
      <c r="J50" s="139"/>
    </row>
    <row r="51" spans="2:11" x14ac:dyDescent="0.2">
      <c r="B51" s="138"/>
      <c r="C51" s="7"/>
      <c r="D51" s="7"/>
      <c r="E51" s="197"/>
      <c r="F51" s="197"/>
      <c r="G51" s="197"/>
      <c r="H51" s="197"/>
      <c r="I51" s="7"/>
      <c r="J51" s="139"/>
    </row>
    <row r="52" spans="2:11" x14ac:dyDescent="0.2">
      <c r="B52" s="138"/>
      <c r="C52" s="140"/>
      <c r="D52" s="5" t="s">
        <v>6</v>
      </c>
      <c r="E52" s="197"/>
      <c r="F52" s="197"/>
      <c r="G52" s="197"/>
      <c r="H52" s="197"/>
      <c r="I52" s="7"/>
      <c r="J52" s="139"/>
    </row>
    <row r="53" spans="2:11" x14ac:dyDescent="0.2">
      <c r="B53" s="138"/>
      <c r="C53" s="140"/>
      <c r="D53" s="5"/>
      <c r="E53" s="197"/>
      <c r="F53" s="197"/>
      <c r="G53" s="197"/>
      <c r="H53" s="197"/>
      <c r="I53" s="7"/>
      <c r="J53" s="139"/>
    </row>
    <row r="54" spans="2:11" x14ac:dyDescent="0.2">
      <c r="B54" s="138"/>
      <c r="C54" s="140"/>
      <c r="D54" s="6" t="s">
        <v>7</v>
      </c>
      <c r="E54" s="4" t="s">
        <v>56</v>
      </c>
      <c r="F54" s="7"/>
      <c r="G54" s="15">
        <v>10000000</v>
      </c>
      <c r="H54" s="7"/>
      <c r="I54" s="7"/>
      <c r="J54" s="139"/>
    </row>
    <row r="55" spans="2:11" x14ac:dyDescent="0.2">
      <c r="B55" s="138"/>
      <c r="C55" s="140"/>
      <c r="D55" s="6"/>
      <c r="E55" s="7"/>
      <c r="F55" s="7"/>
      <c r="G55" s="7"/>
      <c r="H55" s="15"/>
      <c r="I55" s="7"/>
      <c r="J55" s="139"/>
    </row>
    <row r="56" spans="2:11" ht="15" x14ac:dyDescent="0.25">
      <c r="B56" s="138"/>
      <c r="C56" s="140"/>
      <c r="D56" s="6" t="s">
        <v>8</v>
      </c>
      <c r="E56" s="8" t="s">
        <v>116</v>
      </c>
      <c r="F56" s="7"/>
      <c r="G56" s="7"/>
      <c r="H56" s="7"/>
      <c r="I56" s="30"/>
      <c r="J56" s="147"/>
      <c r="K56" s="128"/>
    </row>
    <row r="57" spans="2:11" x14ac:dyDescent="0.2">
      <c r="B57" s="138"/>
      <c r="C57" s="140"/>
      <c r="D57" s="6"/>
      <c r="E57" s="7" t="s">
        <v>9</v>
      </c>
      <c r="F57" s="7"/>
      <c r="G57" s="15">
        <f>+'Desarrollo Ejercicio n°12 A'!F12</f>
        <v>2536485</v>
      </c>
      <c r="H57" s="7"/>
      <c r="I57" s="7"/>
      <c r="J57" s="139"/>
    </row>
    <row r="58" spans="2:11" x14ac:dyDescent="0.2">
      <c r="B58" s="138"/>
      <c r="C58" s="140"/>
      <c r="D58" s="6"/>
      <c r="E58" s="7" t="s">
        <v>10</v>
      </c>
      <c r="F58" s="7"/>
      <c r="G58" s="15">
        <v>650000</v>
      </c>
      <c r="H58" s="7"/>
      <c r="I58" s="7"/>
      <c r="J58" s="139"/>
    </row>
    <row r="59" spans="2:11" x14ac:dyDescent="0.2">
      <c r="B59" s="138"/>
      <c r="C59" s="140"/>
      <c r="D59" s="6"/>
      <c r="E59" s="7" t="s">
        <v>11</v>
      </c>
      <c r="F59" s="7"/>
      <c r="G59" s="15">
        <f>+'Desarrollo Ejercicio n°12 A'!F14</f>
        <v>325000</v>
      </c>
      <c r="H59" s="7"/>
      <c r="I59" s="7"/>
      <c r="J59" s="139"/>
    </row>
    <row r="60" spans="2:11" x14ac:dyDescent="0.2">
      <c r="B60" s="138"/>
      <c r="C60" s="140"/>
      <c r="D60" s="6"/>
      <c r="E60" s="7"/>
      <c r="F60" s="7"/>
      <c r="G60" s="15"/>
      <c r="H60" s="7"/>
      <c r="I60" s="7"/>
      <c r="J60" s="139"/>
    </row>
    <row r="61" spans="2:11" ht="15" x14ac:dyDescent="0.25">
      <c r="B61" s="138"/>
      <c r="C61" s="140"/>
      <c r="D61" s="6" t="s">
        <v>12</v>
      </c>
      <c r="E61" s="8" t="s">
        <v>117</v>
      </c>
      <c r="F61" s="7"/>
      <c r="G61" s="15"/>
      <c r="H61" s="7"/>
      <c r="I61" s="7"/>
      <c r="J61" s="139"/>
    </row>
    <row r="62" spans="2:11" x14ac:dyDescent="0.2">
      <c r="B62" s="138"/>
      <c r="C62" s="140"/>
      <c r="D62" s="6"/>
      <c r="E62" s="9" t="s">
        <v>13</v>
      </c>
      <c r="F62" s="7"/>
      <c r="G62" s="19">
        <f>+'Desarrollo Ejercicio n°12 A'!F17</f>
        <v>-5934560</v>
      </c>
      <c r="H62" s="7"/>
      <c r="I62" s="7"/>
      <c r="J62" s="139"/>
    </row>
    <row r="63" spans="2:11" x14ac:dyDescent="0.2">
      <c r="B63" s="138"/>
      <c r="C63" s="140"/>
      <c r="D63" s="6"/>
      <c r="E63" s="9" t="s">
        <v>207</v>
      </c>
      <c r="F63" s="7"/>
      <c r="G63" s="19">
        <v>-1000000</v>
      </c>
      <c r="H63" s="7"/>
      <c r="I63" s="7"/>
      <c r="J63" s="139"/>
    </row>
    <row r="64" spans="2:11" x14ac:dyDescent="0.2">
      <c r="B64" s="138"/>
      <c r="C64" s="140"/>
      <c r="D64" s="6"/>
      <c r="E64" s="9" t="s">
        <v>119</v>
      </c>
      <c r="F64" s="7"/>
      <c r="G64" s="19">
        <v>-500000</v>
      </c>
      <c r="H64" s="7"/>
      <c r="I64" s="7"/>
      <c r="J64" s="139"/>
    </row>
    <row r="65" spans="2:15" x14ac:dyDescent="0.2">
      <c r="B65" s="138"/>
      <c r="C65" s="140"/>
      <c r="D65" s="6"/>
      <c r="E65" s="9" t="s">
        <v>120</v>
      </c>
      <c r="F65" s="7"/>
      <c r="G65" s="19">
        <v>-350000</v>
      </c>
      <c r="H65" s="7"/>
      <c r="I65" s="7"/>
      <c r="J65" s="139"/>
    </row>
    <row r="66" spans="2:15" x14ac:dyDescent="0.2">
      <c r="B66" s="138"/>
      <c r="C66" s="140"/>
      <c r="D66" s="6"/>
      <c r="E66" s="9"/>
      <c r="F66" s="7"/>
      <c r="G66" s="19"/>
      <c r="H66" s="7"/>
      <c r="I66" s="7"/>
      <c r="J66" s="139"/>
    </row>
    <row r="67" spans="2:15" x14ac:dyDescent="0.2">
      <c r="B67" s="138"/>
      <c r="C67" s="140"/>
      <c r="D67" s="6" t="s">
        <v>76</v>
      </c>
      <c r="E67" s="9" t="s">
        <v>77</v>
      </c>
      <c r="F67" s="7"/>
      <c r="G67" s="15">
        <f>+'Desarrollo Ejercicio n°12 B y C'!D93</f>
        <v>202744485</v>
      </c>
      <c r="H67" s="7"/>
      <c r="I67" s="7"/>
      <c r="J67" s="139"/>
      <c r="M67" s="32"/>
    </row>
    <row r="68" spans="2:15" x14ac:dyDescent="0.2">
      <c r="B68" s="138"/>
      <c r="C68" s="140"/>
      <c r="D68" s="6"/>
      <c r="E68" s="9"/>
      <c r="F68" s="7"/>
      <c r="G68" s="15"/>
      <c r="H68" s="7"/>
      <c r="I68" s="7"/>
      <c r="J68" s="139"/>
      <c r="M68" s="32"/>
    </row>
    <row r="69" spans="2:15" x14ac:dyDescent="0.2">
      <c r="B69" s="138"/>
      <c r="C69" s="140"/>
      <c r="D69" s="6"/>
      <c r="E69" s="8" t="s">
        <v>123</v>
      </c>
      <c r="F69" s="7"/>
      <c r="G69" s="15"/>
      <c r="H69" s="7"/>
      <c r="I69" s="7"/>
      <c r="J69" s="139"/>
      <c r="M69" s="32"/>
    </row>
    <row r="70" spans="2:15" x14ac:dyDescent="0.2">
      <c r="B70" s="138"/>
      <c r="C70" s="140"/>
      <c r="D70" s="6"/>
      <c r="E70" s="8"/>
      <c r="F70" s="7"/>
      <c r="G70" s="15"/>
      <c r="H70" s="10"/>
      <c r="I70" s="7"/>
      <c r="J70" s="139"/>
    </row>
    <row r="71" spans="2:15" x14ac:dyDescent="0.2">
      <c r="B71" s="138"/>
      <c r="C71" s="8" t="s">
        <v>16</v>
      </c>
      <c r="D71" s="6"/>
      <c r="E71" s="8"/>
      <c r="F71" s="4"/>
      <c r="G71" s="10"/>
      <c r="H71" s="10"/>
      <c r="I71" s="7"/>
      <c r="J71" s="139"/>
    </row>
    <row r="72" spans="2:15" x14ac:dyDescent="0.2">
      <c r="B72" s="138"/>
      <c r="C72" s="148" t="s">
        <v>17</v>
      </c>
      <c r="D72" s="8" t="s">
        <v>124</v>
      </c>
      <c r="E72" s="8"/>
      <c r="F72" s="4"/>
      <c r="G72" s="10"/>
      <c r="H72" s="10"/>
      <c r="I72" s="7"/>
      <c r="J72" s="139"/>
    </row>
    <row r="73" spans="2:15" x14ac:dyDescent="0.2">
      <c r="B73" s="138"/>
      <c r="C73" s="140"/>
      <c r="D73" s="6"/>
      <c r="E73" s="8"/>
      <c r="F73" s="4"/>
      <c r="G73" s="10"/>
      <c r="H73" s="10"/>
      <c r="I73" s="7"/>
      <c r="J73" s="139"/>
    </row>
    <row r="74" spans="2:15" s="119" customFormat="1" x14ac:dyDescent="0.2">
      <c r="B74" s="34"/>
      <c r="C74" s="148" t="s">
        <v>18</v>
      </c>
      <c r="D74" s="8" t="s">
        <v>146</v>
      </c>
      <c r="E74" s="8"/>
      <c r="F74" s="4"/>
      <c r="G74" s="10"/>
      <c r="H74" s="7"/>
      <c r="I74" s="7"/>
      <c r="J74" s="139"/>
      <c r="N74" s="32"/>
      <c r="O74" s="32"/>
    </row>
    <row r="75" spans="2:15" s="119" customFormat="1" x14ac:dyDescent="0.2">
      <c r="B75" s="34"/>
      <c r="C75" s="148"/>
      <c r="D75" s="8"/>
      <c r="E75" s="8"/>
      <c r="F75" s="4"/>
      <c r="G75" s="10"/>
      <c r="H75" s="7"/>
      <c r="I75" s="7"/>
      <c r="J75" s="139"/>
      <c r="N75" s="32"/>
      <c r="O75" s="32"/>
    </row>
    <row r="76" spans="2:15" s="119" customFormat="1" ht="12.75" customHeight="1" x14ac:dyDescent="0.2">
      <c r="B76" s="34"/>
      <c r="C76" s="148" t="s">
        <v>20</v>
      </c>
      <c r="D76" s="8" t="s">
        <v>195</v>
      </c>
      <c r="E76" s="8"/>
      <c r="F76" s="4"/>
      <c r="G76" s="10"/>
      <c r="H76" s="7"/>
      <c r="I76" s="7"/>
      <c r="J76" s="139"/>
      <c r="N76" s="32"/>
      <c r="O76" s="32"/>
    </row>
    <row r="77" spans="2:15" s="119" customFormat="1" ht="18.75" thickBot="1" x14ac:dyDescent="0.3">
      <c r="B77" s="149"/>
      <c r="C77" s="150"/>
      <c r="D77" s="118"/>
      <c r="E77" s="118"/>
      <c r="F77" s="118"/>
      <c r="G77" s="118"/>
      <c r="H77" s="151"/>
      <c r="I77" s="152"/>
      <c r="J77" s="153"/>
      <c r="N77" s="32"/>
      <c r="O77" s="32"/>
    </row>
    <row r="78" spans="2:15" s="119" customFormat="1" x14ac:dyDescent="0.2">
      <c r="C78" s="134"/>
      <c r="D78" s="32"/>
      <c r="E78" s="93"/>
      <c r="F78" s="32"/>
      <c r="G78" s="133"/>
      <c r="H78" s="32"/>
      <c r="I78" s="32"/>
      <c r="N78" s="32"/>
      <c r="O78" s="32"/>
    </row>
    <row r="79" spans="2:15" s="119" customFormat="1" x14ac:dyDescent="0.2">
      <c r="C79" s="134"/>
      <c r="D79" s="32"/>
      <c r="E79" s="154"/>
      <c r="F79" s="154"/>
      <c r="G79" s="32"/>
      <c r="H79" s="155"/>
      <c r="I79" s="32"/>
      <c r="N79" s="32"/>
      <c r="O79" s="32"/>
    </row>
    <row r="80" spans="2:15" s="119" customFormat="1" ht="12.75" customHeight="1" x14ac:dyDescent="0.2">
      <c r="C80" s="134"/>
      <c r="D80" s="32"/>
      <c r="E80" s="347"/>
      <c r="F80" s="347"/>
      <c r="G80" s="347"/>
      <c r="H80" s="347"/>
      <c r="I80" s="32"/>
      <c r="N80" s="32"/>
      <c r="O80" s="32"/>
    </row>
    <row r="81" spans="3:15" s="119" customFormat="1" x14ac:dyDescent="0.2">
      <c r="C81" s="134"/>
      <c r="D81" s="32"/>
      <c r="E81" s="13"/>
      <c r="F81" s="13"/>
      <c r="G81" s="13"/>
      <c r="H81" s="13"/>
      <c r="I81" s="32"/>
      <c r="N81" s="32"/>
      <c r="O81" s="32"/>
    </row>
    <row r="82" spans="3:15" s="119" customFormat="1" ht="12.75" customHeight="1" x14ac:dyDescent="0.2">
      <c r="C82" s="134"/>
      <c r="D82" s="32"/>
      <c r="E82" s="347"/>
      <c r="F82" s="347"/>
      <c r="G82" s="347"/>
      <c r="H82" s="347"/>
      <c r="I82" s="32"/>
      <c r="N82" s="32"/>
      <c r="O82" s="32"/>
    </row>
    <row r="83" spans="3:15" s="119" customFormat="1" x14ac:dyDescent="0.2">
      <c r="C83" s="134"/>
      <c r="D83" s="32"/>
      <c r="E83" s="348"/>
      <c r="F83" s="348"/>
      <c r="G83" s="348"/>
      <c r="H83" s="348"/>
      <c r="I83" s="32"/>
      <c r="N83" s="32"/>
      <c r="O83" s="32"/>
    </row>
    <row r="84" spans="3:15" s="119" customFormat="1" x14ac:dyDescent="0.2">
      <c r="C84" s="134"/>
      <c r="D84" s="32"/>
      <c r="E84" s="347"/>
      <c r="F84" s="347"/>
      <c r="G84" s="347"/>
      <c r="H84" s="347"/>
      <c r="I84" s="32"/>
      <c r="N84" s="32"/>
      <c r="O84" s="32"/>
    </row>
    <row r="85" spans="3:15" s="119" customFormat="1" x14ac:dyDescent="0.2">
      <c r="C85" s="134"/>
      <c r="D85" s="32"/>
      <c r="E85" s="348"/>
      <c r="F85" s="348"/>
      <c r="G85" s="348"/>
      <c r="H85" s="348"/>
      <c r="I85" s="32"/>
      <c r="N85" s="32"/>
      <c r="O85" s="32"/>
    </row>
  </sheetData>
  <mergeCells count="11">
    <mergeCell ref="C8:I9"/>
    <mergeCell ref="E85:H85"/>
    <mergeCell ref="C11:I13"/>
    <mergeCell ref="D15:I16"/>
    <mergeCell ref="C30:I30"/>
    <mergeCell ref="D35:I36"/>
    <mergeCell ref="D38:I40"/>
    <mergeCell ref="E80:H80"/>
    <mergeCell ref="E82:H82"/>
    <mergeCell ref="E83:H83"/>
    <mergeCell ref="E84:H84"/>
  </mergeCells>
  <printOptions horizontalCentered="1"/>
  <pageMargins left="0.59055118110236227" right="0.59055118110236227" top="0.59055118110236227" bottom="0.59055118110236227" header="0" footer="0"/>
  <pageSetup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54"/>
  <sheetViews>
    <sheetView showGridLines="0" zoomScale="80" zoomScaleNormal="80" workbookViewId="0">
      <selection activeCell="D3" sqref="D3:D5"/>
    </sheetView>
  </sheetViews>
  <sheetFormatPr baseColWidth="10" defaultColWidth="9.140625" defaultRowHeight="15" x14ac:dyDescent="0.25"/>
  <cols>
    <col min="1" max="2" width="9.140625" style="120"/>
    <col min="3" max="3" width="2.85546875" style="120" bestFit="1" customWidth="1"/>
    <col min="4" max="4" width="47" style="120" bestFit="1" customWidth="1"/>
    <col min="5" max="5" width="9.7109375" style="120" customWidth="1"/>
    <col min="6" max="7" width="11.28515625" style="120" bestFit="1" customWidth="1"/>
    <col min="8" max="9" width="9.140625" style="120"/>
    <col min="10" max="10" width="11" style="216" customWidth="1"/>
    <col min="11" max="11" width="12.28515625" style="120" bestFit="1" customWidth="1"/>
    <col min="12" max="12" width="6.7109375" style="215" customWidth="1"/>
    <col min="13" max="13" width="11.28515625" style="120" bestFit="1" customWidth="1"/>
    <col min="14" max="14" width="12.28515625" style="120" bestFit="1" customWidth="1"/>
    <col min="15" max="15" width="11.28515625" style="120" bestFit="1" customWidth="1"/>
    <col min="16" max="16" width="9.85546875" style="120" bestFit="1" customWidth="1"/>
    <col min="17" max="17" width="16.5703125" style="120" bestFit="1" customWidth="1"/>
    <col min="18" max="18" width="17" style="120" customWidth="1"/>
    <col min="19" max="19" width="12.85546875" style="120" customWidth="1"/>
    <col min="20" max="20" width="13" style="120" customWidth="1"/>
    <col min="21" max="21" width="9.140625" style="120"/>
    <col min="22" max="22" width="10.85546875" style="120" bestFit="1" customWidth="1"/>
    <col min="23" max="16384" width="9.140625" style="120"/>
  </cols>
  <sheetData>
    <row r="1" spans="2:22" ht="15.75" thickBot="1" x14ac:dyDescent="0.3">
      <c r="D1" s="32"/>
    </row>
    <row r="2" spans="2:22" ht="15.75" thickBot="1" x14ac:dyDescent="0.3">
      <c r="B2" s="121"/>
      <c r="C2" s="122"/>
      <c r="D2" s="122"/>
      <c r="E2" s="122"/>
      <c r="F2" s="122"/>
      <c r="G2" s="122"/>
      <c r="H2" s="123"/>
    </row>
    <row r="3" spans="2:22" x14ac:dyDescent="0.25">
      <c r="B3" s="124"/>
      <c r="C3" s="125"/>
      <c r="D3" s="1" t="s">
        <v>234</v>
      </c>
      <c r="E3" s="125"/>
      <c r="F3" s="125"/>
      <c r="G3" s="125"/>
      <c r="H3" s="126"/>
    </row>
    <row r="4" spans="2:22" x14ac:dyDescent="0.25">
      <c r="B4" s="124"/>
      <c r="C4" s="125"/>
      <c r="D4" s="394" t="s">
        <v>235</v>
      </c>
      <c r="E4" s="125"/>
      <c r="F4" s="125"/>
      <c r="G4" s="125"/>
      <c r="H4" s="126"/>
    </row>
    <row r="5" spans="2:22" x14ac:dyDescent="0.25">
      <c r="B5" s="124"/>
      <c r="C5" s="125"/>
      <c r="D5" s="394" t="s">
        <v>236</v>
      </c>
      <c r="E5" s="125"/>
      <c r="F5" s="125"/>
      <c r="G5" s="125"/>
      <c r="H5" s="126"/>
    </row>
    <row r="6" spans="2:22" x14ac:dyDescent="0.25">
      <c r="B6" s="124"/>
      <c r="C6" s="125"/>
      <c r="D6" s="7"/>
      <c r="E6" s="125"/>
      <c r="F6" s="125"/>
      <c r="G6" s="125"/>
      <c r="H6" s="126"/>
    </row>
    <row r="7" spans="2:22" x14ac:dyDescent="0.25">
      <c r="B7" s="124"/>
      <c r="C7" s="125"/>
      <c r="D7" s="351" t="s">
        <v>208</v>
      </c>
      <c r="E7" s="351"/>
      <c r="F7" s="351"/>
      <c r="G7" s="351"/>
      <c r="H7" s="126"/>
    </row>
    <row r="8" spans="2:22" x14ac:dyDescent="0.25">
      <c r="B8" s="124"/>
      <c r="C8" s="125"/>
      <c r="D8" s="351"/>
      <c r="E8" s="351"/>
      <c r="F8" s="351"/>
      <c r="G8" s="351"/>
      <c r="H8" s="126"/>
    </row>
    <row r="9" spans="2:22" ht="36.75" customHeight="1" x14ac:dyDescent="0.25">
      <c r="B9" s="124"/>
      <c r="C9" s="6" t="s">
        <v>21</v>
      </c>
      <c r="D9" s="127" t="s">
        <v>57</v>
      </c>
      <c r="E9" s="125"/>
      <c r="F9" s="125"/>
      <c r="G9" s="125"/>
      <c r="H9" s="126"/>
    </row>
    <row r="10" spans="2:22" x14ac:dyDescent="0.25">
      <c r="B10" s="124"/>
      <c r="C10" s="125"/>
      <c r="D10" s="4" t="s">
        <v>56</v>
      </c>
      <c r="E10" s="7"/>
      <c r="F10" s="7"/>
      <c r="G10" s="15">
        <v>10000000</v>
      </c>
      <c r="H10" s="16"/>
      <c r="I10" s="119"/>
      <c r="J10" s="93"/>
      <c r="K10" s="282">
        <v>85000000</v>
      </c>
      <c r="L10" s="283">
        <v>2.9000000000000001E-2</v>
      </c>
      <c r="M10" s="282">
        <f>ROUND(K10*L10,0)</f>
        <v>2465000</v>
      </c>
      <c r="N10" s="284">
        <f>+K10+M10</f>
        <v>87465000</v>
      </c>
      <c r="O10" s="282">
        <f>+N10*2.9%</f>
        <v>2536485</v>
      </c>
    </row>
    <row r="11" spans="2:22" x14ac:dyDescent="0.25">
      <c r="B11" s="124"/>
      <c r="C11" s="125"/>
      <c r="D11" s="8" t="s">
        <v>114</v>
      </c>
      <c r="E11" s="7"/>
      <c r="F11" s="7"/>
      <c r="G11" s="15"/>
      <c r="H11" s="16"/>
      <c r="I11" s="119"/>
      <c r="J11" s="93"/>
      <c r="K11" s="282"/>
      <c r="L11" s="285"/>
      <c r="M11" s="282"/>
    </row>
    <row r="12" spans="2:22" x14ac:dyDescent="0.25">
      <c r="B12" s="124"/>
      <c r="C12" s="125"/>
      <c r="D12" s="7" t="s">
        <v>9</v>
      </c>
      <c r="E12" s="7"/>
      <c r="F12" s="15">
        <f>+O10</f>
        <v>2536485</v>
      </c>
      <c r="G12" s="15"/>
      <c r="H12" s="16"/>
      <c r="I12" s="119"/>
      <c r="J12" s="93"/>
    </row>
    <row r="13" spans="2:22" x14ac:dyDescent="0.25">
      <c r="B13" s="124"/>
      <c r="C13" s="6"/>
      <c r="D13" s="7" t="s">
        <v>10</v>
      </c>
      <c r="E13" s="7"/>
      <c r="F13" s="15">
        <v>650000</v>
      </c>
      <c r="G13" s="7"/>
      <c r="H13" s="17"/>
      <c r="I13" s="128"/>
      <c r="J13" s="286"/>
      <c r="L13" s="201" t="s">
        <v>23</v>
      </c>
      <c r="M13" s="201" t="s">
        <v>24</v>
      </c>
      <c r="N13" s="202"/>
    </row>
    <row r="14" spans="2:22" x14ac:dyDescent="0.25">
      <c r="B14" s="124"/>
      <c r="C14" s="6"/>
      <c r="D14" s="7" t="s">
        <v>11</v>
      </c>
      <c r="E14" s="7"/>
      <c r="F14" s="15">
        <v>325000</v>
      </c>
      <c r="G14" s="15">
        <f>SUM(F12:F14)</f>
        <v>3511485</v>
      </c>
      <c r="H14" s="17"/>
      <c r="I14" s="128"/>
      <c r="J14" s="287" t="s">
        <v>22</v>
      </c>
      <c r="K14" s="203">
        <v>200000000</v>
      </c>
      <c r="L14" s="288">
        <v>2.9000000000000001E-2</v>
      </c>
      <c r="M14" s="203">
        <f>+K14*L14</f>
        <v>5800000</v>
      </c>
      <c r="N14" s="289">
        <f>+K14+M14</f>
        <v>205800000</v>
      </c>
      <c r="O14" s="290">
        <f>+L14</f>
        <v>2.9000000000000001E-2</v>
      </c>
      <c r="P14" s="289">
        <f>+N14*O14</f>
        <v>5968200</v>
      </c>
    </row>
    <row r="15" spans="2:22" x14ac:dyDescent="0.25">
      <c r="B15" s="124"/>
      <c r="C15" s="6"/>
      <c r="D15" s="7"/>
      <c r="E15" s="7"/>
      <c r="F15" s="15"/>
      <c r="G15" s="7"/>
      <c r="H15" s="17"/>
      <c r="I15" s="128"/>
      <c r="J15" s="286" t="s">
        <v>156</v>
      </c>
      <c r="K15" s="291">
        <v>-12500000</v>
      </c>
      <c r="L15" s="288">
        <v>2E-3</v>
      </c>
      <c r="M15" s="203">
        <f t="shared" ref="M15:M16" si="0">+K15*L15</f>
        <v>-25000</v>
      </c>
      <c r="N15" s="202"/>
      <c r="P15" s="291">
        <f>+M15</f>
        <v>-25000</v>
      </c>
    </row>
    <row r="16" spans="2:22" x14ac:dyDescent="0.25">
      <c r="B16" s="124"/>
      <c r="C16" s="6"/>
      <c r="D16" s="8" t="s">
        <v>115</v>
      </c>
      <c r="E16" s="7"/>
      <c r="F16" s="15"/>
      <c r="G16" s="7"/>
      <c r="H16" s="17"/>
      <c r="I16" s="128"/>
      <c r="J16" s="286" t="s">
        <v>155</v>
      </c>
      <c r="K16" s="291">
        <v>-480000</v>
      </c>
      <c r="L16" s="288">
        <v>1.7999999999999999E-2</v>
      </c>
      <c r="M16" s="203">
        <f t="shared" si="0"/>
        <v>-8640</v>
      </c>
      <c r="N16" s="202"/>
      <c r="P16" s="291">
        <f>+M16</f>
        <v>-8640</v>
      </c>
      <c r="V16" s="129"/>
    </row>
    <row r="17" spans="2:16" x14ac:dyDescent="0.25">
      <c r="B17" s="124"/>
      <c r="C17" s="6"/>
      <c r="D17" s="9" t="s">
        <v>13</v>
      </c>
      <c r="E17" s="7"/>
      <c r="F17" s="19">
        <f>-P17</f>
        <v>-5934560</v>
      </c>
      <c r="G17" s="7"/>
      <c r="H17" s="16"/>
      <c r="I17" s="119"/>
      <c r="J17" s="93"/>
      <c r="P17" s="204">
        <f>SUM(P14:P16)</f>
        <v>5934560</v>
      </c>
    </row>
    <row r="18" spans="2:16" x14ac:dyDescent="0.25">
      <c r="B18" s="124"/>
      <c r="C18" s="6"/>
      <c r="D18" s="9" t="s">
        <v>118</v>
      </c>
      <c r="E18" s="7"/>
      <c r="F18" s="19">
        <v>-1000000</v>
      </c>
      <c r="G18" s="7"/>
      <c r="H18" s="16"/>
      <c r="I18" s="119"/>
      <c r="J18" s="93"/>
      <c r="K18" s="203"/>
      <c r="L18" s="201"/>
      <c r="N18" s="202"/>
      <c r="P18" s="204"/>
    </row>
    <row r="19" spans="2:16" x14ac:dyDescent="0.25">
      <c r="B19" s="124"/>
      <c r="C19" s="6"/>
      <c r="D19" s="9" t="s">
        <v>119</v>
      </c>
      <c r="E19" s="7"/>
      <c r="F19" s="19">
        <v>-500000</v>
      </c>
      <c r="G19" s="7"/>
      <c r="H19" s="16"/>
      <c r="I19" s="119"/>
      <c r="J19" s="93"/>
      <c r="K19" s="203"/>
      <c r="L19" s="201"/>
      <c r="N19" s="202"/>
      <c r="P19" s="204"/>
    </row>
    <row r="20" spans="2:16" x14ac:dyDescent="0.25">
      <c r="B20" s="124"/>
      <c r="C20" s="6"/>
      <c r="D20" s="9" t="s">
        <v>120</v>
      </c>
      <c r="E20" s="7"/>
      <c r="F20" s="19">
        <v>-350000</v>
      </c>
      <c r="G20" s="19">
        <f>SUM(F17:F20)</f>
        <v>-7784560</v>
      </c>
      <c r="H20" s="16"/>
      <c r="I20" s="119"/>
      <c r="J20" s="93"/>
      <c r="N20" s="202"/>
    </row>
    <row r="21" spans="2:16" x14ac:dyDescent="0.25">
      <c r="B21" s="124"/>
      <c r="C21" s="6"/>
      <c r="D21" s="9"/>
      <c r="E21" s="7"/>
      <c r="F21" s="15"/>
      <c r="G21" s="7"/>
      <c r="H21" s="16"/>
      <c r="I21" s="119"/>
      <c r="J21" s="93"/>
      <c r="K21" s="205"/>
      <c r="L21" s="205"/>
      <c r="M21" s="206"/>
      <c r="N21" s="202"/>
    </row>
    <row r="22" spans="2:16" x14ac:dyDescent="0.25">
      <c r="B22" s="124"/>
      <c r="C22" s="6"/>
      <c r="D22" s="20" t="s">
        <v>78</v>
      </c>
      <c r="E22" s="21"/>
      <c r="F22" s="22"/>
      <c r="G22" s="22">
        <f>SUM(G10:G20)</f>
        <v>5726925</v>
      </c>
      <c r="H22" s="16"/>
      <c r="I22" s="119"/>
      <c r="J22" s="93"/>
    </row>
    <row r="23" spans="2:16" x14ac:dyDescent="0.25">
      <c r="B23" s="124"/>
      <c r="C23" s="6"/>
      <c r="D23" s="8"/>
      <c r="E23" s="4"/>
      <c r="F23" s="10"/>
      <c r="G23" s="10"/>
      <c r="H23" s="16"/>
      <c r="I23" s="119"/>
      <c r="J23" s="93"/>
    </row>
    <row r="24" spans="2:16" x14ac:dyDescent="0.25">
      <c r="B24" s="124"/>
      <c r="C24" s="6"/>
      <c r="D24" s="8" t="s">
        <v>27</v>
      </c>
      <c r="E24" s="23">
        <v>0.27</v>
      </c>
      <c r="F24" s="10"/>
      <c r="G24" s="10">
        <f>ROUND(G22*E24,0)</f>
        <v>1546270</v>
      </c>
      <c r="H24" s="16"/>
      <c r="I24" s="119"/>
      <c r="J24" s="93"/>
    </row>
    <row r="25" spans="2:16" x14ac:dyDescent="0.25">
      <c r="B25" s="124"/>
      <c r="C25" s="6"/>
      <c r="D25" s="8" t="s">
        <v>30</v>
      </c>
      <c r="E25" s="24">
        <v>0.4</v>
      </c>
      <c r="F25" s="10"/>
      <c r="G25" s="10">
        <f>-ROUND(0*E25,0)</f>
        <v>0</v>
      </c>
      <c r="H25" s="16"/>
      <c r="I25" s="119"/>
      <c r="J25" s="93"/>
    </row>
    <row r="26" spans="2:16" x14ac:dyDescent="0.25">
      <c r="B26" s="124"/>
      <c r="C26" s="6"/>
      <c r="D26" s="8" t="s">
        <v>150</v>
      </c>
      <c r="E26" s="24"/>
      <c r="F26" s="10"/>
      <c r="G26" s="10">
        <f>+'Desarrollo Ejercicio n°12 B y C'!E66</f>
        <v>1848938.4000000001</v>
      </c>
      <c r="H26" s="16"/>
      <c r="I26" s="119"/>
      <c r="J26" s="93"/>
    </row>
    <row r="27" spans="2:16" x14ac:dyDescent="0.25">
      <c r="B27" s="124"/>
      <c r="C27" s="6"/>
      <c r="D27" s="8"/>
      <c r="E27" s="4"/>
      <c r="F27" s="10"/>
      <c r="G27" s="10"/>
      <c r="H27" s="16"/>
      <c r="I27" s="119"/>
      <c r="J27" s="93"/>
    </row>
    <row r="28" spans="2:16" ht="15.75" thickBot="1" x14ac:dyDescent="0.3">
      <c r="B28" s="124"/>
      <c r="C28" s="6"/>
      <c r="D28" s="26" t="s">
        <v>79</v>
      </c>
      <c r="E28" s="27"/>
      <c r="F28" s="28"/>
      <c r="G28" s="28">
        <f>SUM(G24:G26)</f>
        <v>3395208.4000000004</v>
      </c>
      <c r="H28" s="16"/>
      <c r="I28" s="119"/>
      <c r="J28" s="93"/>
    </row>
    <row r="29" spans="2:16" ht="15.75" thickBot="1" x14ac:dyDescent="0.3">
      <c r="B29" s="130"/>
      <c r="C29" s="11"/>
      <c r="D29" s="131"/>
      <c r="E29" s="131"/>
      <c r="F29" s="131"/>
      <c r="G29" s="131"/>
      <c r="H29" s="29"/>
      <c r="I29" s="119"/>
      <c r="J29" s="93"/>
      <c r="P29" s="132"/>
    </row>
    <row r="30" spans="2:16" x14ac:dyDescent="0.25">
      <c r="C30" s="31"/>
      <c r="H30" s="32"/>
      <c r="I30" s="119"/>
      <c r="J30" s="93"/>
    </row>
    <row r="31" spans="2:16" x14ac:dyDescent="0.25">
      <c r="C31" s="31"/>
      <c r="H31" s="32"/>
      <c r="I31" s="119"/>
      <c r="J31" s="93"/>
    </row>
    <row r="32" spans="2:16" x14ac:dyDescent="0.25">
      <c r="C32" s="31"/>
      <c r="H32" s="32"/>
      <c r="I32" s="119"/>
      <c r="J32" s="93"/>
    </row>
    <row r="33" spans="3:10" x14ac:dyDescent="0.25">
      <c r="C33" s="31"/>
      <c r="H33" s="32"/>
      <c r="I33" s="119"/>
      <c r="J33" s="93"/>
    </row>
    <row r="34" spans="3:10" x14ac:dyDescent="0.25">
      <c r="C34" s="31"/>
      <c r="G34" s="32"/>
      <c r="H34" s="32"/>
      <c r="I34" s="119"/>
      <c r="J34" s="93"/>
    </row>
    <row r="35" spans="3:10" x14ac:dyDescent="0.25">
      <c r="C35" s="31"/>
      <c r="G35" s="32"/>
      <c r="H35" s="32"/>
      <c r="I35" s="119"/>
      <c r="J35" s="93"/>
    </row>
    <row r="36" spans="3:10" x14ac:dyDescent="0.25">
      <c r="C36" s="31"/>
      <c r="D36" s="93"/>
      <c r="E36" s="32"/>
      <c r="F36" s="133"/>
      <c r="G36" s="32"/>
      <c r="H36" s="32"/>
      <c r="I36" s="119"/>
      <c r="J36" s="93"/>
    </row>
    <row r="37" spans="3:10" x14ac:dyDescent="0.25">
      <c r="C37" s="31"/>
      <c r="D37" s="32"/>
      <c r="E37" s="32"/>
      <c r="F37" s="133"/>
      <c r="H37" s="32"/>
      <c r="I37" s="119"/>
      <c r="J37" s="93"/>
    </row>
    <row r="38" spans="3:10" x14ac:dyDescent="0.25">
      <c r="C38" s="31"/>
      <c r="D38" s="32"/>
      <c r="E38" s="32"/>
      <c r="F38" s="133"/>
      <c r="G38" s="32"/>
      <c r="H38" s="32"/>
      <c r="I38" s="119"/>
      <c r="J38" s="93"/>
    </row>
    <row r="39" spans="3:10" x14ac:dyDescent="0.25">
      <c r="C39" s="31"/>
      <c r="H39" s="32"/>
      <c r="I39" s="119"/>
      <c r="J39" s="93"/>
    </row>
    <row r="40" spans="3:10" x14ac:dyDescent="0.25">
      <c r="C40" s="31"/>
      <c r="H40" s="32"/>
      <c r="I40" s="119"/>
      <c r="J40" s="93"/>
    </row>
    <row r="41" spans="3:10" x14ac:dyDescent="0.25">
      <c r="C41" s="31"/>
      <c r="H41" s="32"/>
      <c r="I41" s="119"/>
      <c r="J41" s="93"/>
    </row>
    <row r="42" spans="3:10" x14ac:dyDescent="0.25">
      <c r="C42" s="31"/>
      <c r="H42" s="32"/>
      <c r="I42" s="119"/>
      <c r="J42" s="93"/>
    </row>
    <row r="43" spans="3:10" x14ac:dyDescent="0.25">
      <c r="C43" s="31"/>
      <c r="H43" s="32"/>
      <c r="I43" s="119"/>
      <c r="J43" s="93"/>
    </row>
    <row r="44" spans="3:10" x14ac:dyDescent="0.25">
      <c r="C44" s="31"/>
      <c r="H44" s="32"/>
      <c r="I44" s="119"/>
      <c r="J44" s="93"/>
    </row>
    <row r="45" spans="3:10" x14ac:dyDescent="0.25">
      <c r="C45" s="31"/>
      <c r="H45" s="32"/>
      <c r="I45" s="119"/>
      <c r="J45" s="93"/>
    </row>
    <row r="46" spans="3:10" x14ac:dyDescent="0.25">
      <c r="C46" s="31"/>
      <c r="H46" s="32"/>
      <c r="I46" s="119"/>
      <c r="J46" s="93"/>
    </row>
    <row r="47" spans="3:10" x14ac:dyDescent="0.25">
      <c r="C47" s="31"/>
      <c r="H47" s="32"/>
      <c r="I47" s="119"/>
      <c r="J47" s="93"/>
    </row>
    <row r="48" spans="3:10" x14ac:dyDescent="0.25">
      <c r="C48" s="31"/>
      <c r="H48" s="32"/>
      <c r="I48" s="119"/>
      <c r="J48" s="93"/>
    </row>
    <row r="49" spans="3:10" x14ac:dyDescent="0.25">
      <c r="C49" s="31"/>
      <c r="H49" s="32"/>
      <c r="I49" s="119"/>
      <c r="J49" s="93"/>
    </row>
    <row r="50" spans="3:10" x14ac:dyDescent="0.25">
      <c r="C50" s="31"/>
      <c r="H50" s="32"/>
      <c r="I50" s="119"/>
      <c r="J50" s="93"/>
    </row>
    <row r="51" spans="3:10" x14ac:dyDescent="0.25">
      <c r="C51" s="31"/>
      <c r="H51" s="32"/>
      <c r="I51" s="119"/>
      <c r="J51" s="93"/>
    </row>
    <row r="52" spans="3:10" x14ac:dyDescent="0.25">
      <c r="C52" s="31"/>
      <c r="H52" s="32"/>
      <c r="I52" s="119"/>
      <c r="J52" s="93"/>
    </row>
    <row r="53" spans="3:10" x14ac:dyDescent="0.25">
      <c r="C53" s="31"/>
      <c r="H53" s="32"/>
      <c r="I53" s="119"/>
      <c r="J53" s="93"/>
    </row>
    <row r="54" spans="3:10" x14ac:dyDescent="0.25">
      <c r="C54" s="31"/>
      <c r="H54" s="32"/>
      <c r="I54" s="119"/>
      <c r="J54" s="93"/>
    </row>
  </sheetData>
  <mergeCells count="1">
    <mergeCell ref="D7:G8"/>
  </mergeCells>
  <pageMargins left="0.7" right="0.7" top="0.75" bottom="0.75" header="0.3" footer="0.3"/>
  <pageSetup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102"/>
  <sheetViews>
    <sheetView showGridLines="0" tabSelected="1" zoomScale="80" zoomScaleNormal="80" workbookViewId="0">
      <selection activeCell="C3" sqref="C3:C5"/>
    </sheetView>
  </sheetViews>
  <sheetFormatPr baseColWidth="10" defaultColWidth="9.140625" defaultRowHeight="12.75" x14ac:dyDescent="0.2"/>
  <cols>
    <col min="1" max="2" width="9.140625" style="18"/>
    <col min="3" max="3" width="50.140625" style="18" customWidth="1"/>
    <col min="4" max="4" width="9.85546875" style="18" bestFit="1" customWidth="1"/>
    <col min="5" max="5" width="27" style="18" customWidth="1"/>
    <col min="6" max="6" width="17.7109375" style="18" customWidth="1"/>
    <col min="7" max="7" width="16.85546875" style="18" customWidth="1"/>
    <col min="8" max="8" width="18" style="18" customWidth="1"/>
    <col min="9" max="9" width="19.7109375" style="18" customWidth="1"/>
    <col min="10" max="12" width="17" style="18" customWidth="1"/>
    <col min="13" max="13" width="12.5703125" style="18" customWidth="1"/>
    <col min="14" max="15" width="12" style="18" bestFit="1" customWidth="1"/>
    <col min="16" max="16" width="9.140625" style="18"/>
    <col min="17" max="17" width="26.140625" style="18" customWidth="1"/>
    <col min="18" max="18" width="11.28515625" style="18" bestFit="1" customWidth="1"/>
    <col min="19" max="19" width="9.85546875" style="18" bestFit="1" customWidth="1"/>
    <col min="20" max="16384" width="9.140625" style="18"/>
  </cols>
  <sheetData>
    <row r="1" spans="2:18" ht="13.5" thickBot="1" x14ac:dyDescent="0.25"/>
    <row r="2" spans="2:18" ht="13.5" thickBot="1" x14ac:dyDescent="0.25">
      <c r="B2" s="69"/>
      <c r="C2" s="1"/>
      <c r="D2" s="1"/>
      <c r="E2" s="70"/>
      <c r="F2" s="70"/>
      <c r="G2" s="70"/>
      <c r="H2" s="70"/>
      <c r="I2" s="70"/>
      <c r="J2" s="70"/>
      <c r="K2" s="70"/>
      <c r="L2" s="70"/>
      <c r="M2" s="70"/>
      <c r="N2" s="70"/>
      <c r="O2" s="71"/>
    </row>
    <row r="3" spans="2:18" x14ac:dyDescent="0.2">
      <c r="B3" s="73"/>
      <c r="C3" s="1" t="s">
        <v>234</v>
      </c>
      <c r="D3" s="4"/>
      <c r="E3" s="72"/>
      <c r="F3" s="72"/>
      <c r="G3" s="72"/>
      <c r="H3" s="72"/>
      <c r="I3" s="72"/>
      <c r="J3" s="72"/>
      <c r="K3" s="72"/>
      <c r="L3" s="72"/>
      <c r="M3" s="72"/>
      <c r="N3" s="72"/>
      <c r="O3" s="74"/>
    </row>
    <row r="4" spans="2:18" x14ac:dyDescent="0.2">
      <c r="B4" s="73"/>
      <c r="C4" s="394" t="s">
        <v>235</v>
      </c>
      <c r="D4" s="7"/>
      <c r="E4" s="72"/>
      <c r="F4" s="72"/>
      <c r="G4" s="72"/>
      <c r="H4" s="72"/>
      <c r="I4" s="72"/>
      <c r="J4" s="72"/>
      <c r="K4" s="72"/>
      <c r="L4" s="72"/>
      <c r="M4" s="72"/>
      <c r="N4" s="72"/>
      <c r="O4" s="74"/>
    </row>
    <row r="5" spans="2:18" x14ac:dyDescent="0.2">
      <c r="B5" s="73"/>
      <c r="C5" s="394" t="s">
        <v>236</v>
      </c>
      <c r="D5" s="7"/>
      <c r="E5" s="72"/>
      <c r="F5" s="72"/>
      <c r="G5" s="72"/>
      <c r="H5" s="72"/>
      <c r="I5" s="72"/>
      <c r="J5" s="72"/>
      <c r="K5" s="72"/>
      <c r="L5" s="72"/>
      <c r="M5" s="72"/>
      <c r="N5" s="72"/>
      <c r="O5" s="74"/>
    </row>
    <row r="6" spans="2:18" x14ac:dyDescent="0.2">
      <c r="B6" s="73"/>
      <c r="C6" s="72"/>
      <c r="D6" s="72"/>
      <c r="E6" s="72"/>
      <c r="F6" s="72"/>
      <c r="G6" s="72"/>
      <c r="H6" s="72"/>
      <c r="I6" s="72"/>
      <c r="J6" s="72"/>
      <c r="K6" s="72"/>
      <c r="L6" s="72"/>
      <c r="M6" s="72"/>
      <c r="N6" s="72"/>
      <c r="O6" s="74"/>
    </row>
    <row r="7" spans="2:18" x14ac:dyDescent="0.2">
      <c r="B7" s="73"/>
      <c r="C7" s="75" t="s">
        <v>208</v>
      </c>
      <c r="D7" s="75"/>
      <c r="E7" s="72"/>
      <c r="F7" s="72"/>
      <c r="G7" s="72"/>
      <c r="H7" s="72"/>
      <c r="I7" s="72"/>
      <c r="J7" s="72"/>
      <c r="K7" s="72"/>
      <c r="L7" s="72"/>
      <c r="M7" s="72"/>
      <c r="N7" s="72"/>
      <c r="O7" s="74"/>
    </row>
    <row r="8" spans="2:18" x14ac:dyDescent="0.2">
      <c r="B8" s="73"/>
      <c r="C8" s="72"/>
      <c r="D8" s="72"/>
      <c r="E8" s="72"/>
      <c r="F8" s="72"/>
      <c r="G8" s="72"/>
      <c r="H8" s="72"/>
      <c r="I8" s="72"/>
      <c r="J8" s="72"/>
      <c r="K8" s="72"/>
      <c r="L8" s="72"/>
      <c r="M8" s="72"/>
      <c r="N8" s="72"/>
      <c r="O8" s="74"/>
    </row>
    <row r="9" spans="2:18" x14ac:dyDescent="0.2">
      <c r="B9" s="73"/>
      <c r="C9" s="75" t="s">
        <v>164</v>
      </c>
      <c r="D9" s="75"/>
      <c r="E9" s="72"/>
      <c r="F9" s="72"/>
      <c r="G9" s="72"/>
      <c r="H9" s="72"/>
      <c r="I9" s="72"/>
      <c r="J9" s="72"/>
      <c r="K9" s="72"/>
      <c r="L9" s="72"/>
      <c r="M9" s="72"/>
      <c r="N9" s="72"/>
      <c r="O9" s="74"/>
    </row>
    <row r="10" spans="2:18" x14ac:dyDescent="0.2">
      <c r="B10" s="73"/>
      <c r="C10" s="372" t="s">
        <v>33</v>
      </c>
      <c r="D10" s="298"/>
      <c r="E10" s="299"/>
      <c r="F10" s="374" t="s">
        <v>34</v>
      </c>
      <c r="G10" s="374" t="s">
        <v>80</v>
      </c>
      <c r="H10" s="374" t="s">
        <v>36</v>
      </c>
      <c r="I10" s="374" t="s">
        <v>37</v>
      </c>
      <c r="J10" s="377" t="s">
        <v>189</v>
      </c>
      <c r="K10" s="377"/>
      <c r="L10" s="377"/>
      <c r="M10" s="365" t="s">
        <v>81</v>
      </c>
      <c r="N10" s="368" t="s">
        <v>39</v>
      </c>
      <c r="O10" s="74"/>
    </row>
    <row r="11" spans="2:18" x14ac:dyDescent="0.2">
      <c r="B11" s="73"/>
      <c r="C11" s="373"/>
      <c r="D11" s="300"/>
      <c r="E11" s="301"/>
      <c r="F11" s="375"/>
      <c r="G11" s="375"/>
      <c r="H11" s="375"/>
      <c r="I11" s="375"/>
      <c r="J11" s="378" t="s">
        <v>82</v>
      </c>
      <c r="K11" s="379"/>
      <c r="L11" s="302" t="s">
        <v>159</v>
      </c>
      <c r="M11" s="366"/>
      <c r="N11" s="369"/>
      <c r="O11" s="74"/>
    </row>
    <row r="12" spans="2:18" ht="38.25" customHeight="1" x14ac:dyDescent="0.2">
      <c r="B12" s="73"/>
      <c r="C12" s="303"/>
      <c r="D12" s="300"/>
      <c r="E12" s="301"/>
      <c r="F12" s="375"/>
      <c r="G12" s="375"/>
      <c r="H12" s="375"/>
      <c r="I12" s="375"/>
      <c r="J12" s="304" t="s">
        <v>216</v>
      </c>
      <c r="K12" s="304" t="s">
        <v>218</v>
      </c>
      <c r="L12" s="304" t="s">
        <v>218</v>
      </c>
      <c r="M12" s="366"/>
      <c r="N12" s="369"/>
      <c r="O12" s="74"/>
    </row>
    <row r="13" spans="2:18" x14ac:dyDescent="0.2">
      <c r="B13" s="73"/>
      <c r="C13" s="303"/>
      <c r="D13" s="300"/>
      <c r="E13" s="301"/>
      <c r="F13" s="375"/>
      <c r="G13" s="375"/>
      <c r="H13" s="375"/>
      <c r="I13" s="375"/>
      <c r="J13" s="305" t="s">
        <v>223</v>
      </c>
      <c r="K13" s="305" t="s">
        <v>223</v>
      </c>
      <c r="L13" s="305" t="s">
        <v>223</v>
      </c>
      <c r="M13" s="367"/>
      <c r="N13" s="369"/>
      <c r="O13" s="74"/>
    </row>
    <row r="14" spans="2:18" x14ac:dyDescent="0.2">
      <c r="B14" s="73"/>
      <c r="C14" s="303"/>
      <c r="D14" s="300"/>
      <c r="E14" s="301"/>
      <c r="F14" s="375"/>
      <c r="G14" s="375"/>
      <c r="H14" s="375"/>
      <c r="I14" s="376"/>
      <c r="J14" s="306">
        <f>+K14</f>
        <v>0.369863</v>
      </c>
      <c r="K14" s="306">
        <v>0.369863</v>
      </c>
      <c r="L14" s="306">
        <v>0.369863</v>
      </c>
      <c r="M14" s="307">
        <f>+'Planteamiento Ejercicio n°12'!F22</f>
        <v>0.31578899999999999</v>
      </c>
      <c r="N14" s="369"/>
      <c r="O14" s="74"/>
      <c r="R14" s="297"/>
    </row>
    <row r="15" spans="2:18" x14ac:dyDescent="0.2">
      <c r="B15" s="73"/>
      <c r="C15" s="308" t="s">
        <v>144</v>
      </c>
      <c r="D15" s="309"/>
      <c r="E15" s="218"/>
      <c r="F15" s="114">
        <f>SUM(G15:I15)</f>
        <v>2000000</v>
      </c>
      <c r="G15" s="310">
        <f>+N15</f>
        <v>2000000</v>
      </c>
      <c r="H15" s="114">
        <v>0</v>
      </c>
      <c r="I15" s="310">
        <v>0</v>
      </c>
      <c r="J15" s="311">
        <v>0</v>
      </c>
      <c r="K15" s="114"/>
      <c r="L15" s="310">
        <v>0</v>
      </c>
      <c r="M15" s="114">
        <f>+'Planteamiento Ejercicio n°12'!F21</f>
        <v>480000</v>
      </c>
      <c r="N15" s="102">
        <f>+'Planteamiento Ejercicio n°12'!F20</f>
        <v>2000000</v>
      </c>
      <c r="O15" s="74"/>
    </row>
    <row r="16" spans="2:18" x14ac:dyDescent="0.2">
      <c r="B16" s="73"/>
      <c r="C16" s="312" t="s">
        <v>128</v>
      </c>
      <c r="D16" s="313"/>
      <c r="E16" s="314">
        <v>2.7E-2</v>
      </c>
      <c r="F16" s="174">
        <f>SUM(G16:I16)</f>
        <v>54000</v>
      </c>
      <c r="G16" s="315">
        <f>ROUND(G15*$E$16,0)</f>
        <v>54000</v>
      </c>
      <c r="H16" s="174">
        <f t="shared" ref="H16:L16" si="0">ROUND(H15*$E$16,0)</f>
        <v>0</v>
      </c>
      <c r="I16" s="315">
        <f t="shared" si="0"/>
        <v>0</v>
      </c>
      <c r="J16" s="316">
        <f t="shared" si="0"/>
        <v>0</v>
      </c>
      <c r="K16" s="174"/>
      <c r="L16" s="315">
        <f t="shared" si="0"/>
        <v>0</v>
      </c>
      <c r="M16" s="174">
        <f>ROUND(M15*E16,0)</f>
        <v>12960</v>
      </c>
      <c r="N16" s="111">
        <f>ROUND(N15*E16,0)</f>
        <v>54000</v>
      </c>
      <c r="O16" s="74"/>
    </row>
    <row r="17" spans="2:19" x14ac:dyDescent="0.2">
      <c r="B17" s="73"/>
      <c r="C17" s="317" t="s">
        <v>83</v>
      </c>
      <c r="D17" s="318"/>
      <c r="E17" s="319"/>
      <c r="F17" s="320">
        <f t="shared" ref="F17:L17" si="1">SUM(F15:F16)</f>
        <v>2054000</v>
      </c>
      <c r="G17" s="320">
        <f t="shared" si="1"/>
        <v>2054000</v>
      </c>
      <c r="H17" s="320">
        <f t="shared" si="1"/>
        <v>0</v>
      </c>
      <c r="I17" s="320">
        <f t="shared" si="1"/>
        <v>0</v>
      </c>
      <c r="J17" s="320">
        <f t="shared" si="1"/>
        <v>0</v>
      </c>
      <c r="K17" s="320"/>
      <c r="L17" s="320">
        <f t="shared" si="1"/>
        <v>0</v>
      </c>
      <c r="M17" s="320">
        <f>SUM(M15:M16)</f>
        <v>492960</v>
      </c>
      <c r="N17" s="320">
        <f>SUM(N15:N16)</f>
        <v>2054000</v>
      </c>
      <c r="O17" s="74"/>
    </row>
    <row r="18" spans="2:19" x14ac:dyDescent="0.2">
      <c r="B18" s="73"/>
      <c r="C18" s="103" t="s">
        <v>43</v>
      </c>
      <c r="D18" s="178"/>
      <c r="E18" s="104"/>
      <c r="F18" s="108"/>
      <c r="G18" s="321"/>
      <c r="H18" s="322"/>
      <c r="I18" s="323"/>
      <c r="J18" s="322"/>
      <c r="K18" s="322"/>
      <c r="L18" s="322"/>
      <c r="M18" s="324"/>
      <c r="N18" s="324"/>
      <c r="O18" s="74"/>
    </row>
    <row r="19" spans="2:19" x14ac:dyDescent="0.2">
      <c r="B19" s="73"/>
      <c r="C19" s="97" t="s">
        <v>139</v>
      </c>
      <c r="D19" s="177"/>
      <c r="E19" s="104"/>
      <c r="F19" s="108">
        <f>+G19</f>
        <v>-487199.99999999994</v>
      </c>
      <c r="G19" s="174">
        <f>+N19</f>
        <v>-487199.99999999994</v>
      </c>
      <c r="H19" s="101"/>
      <c r="I19" s="108"/>
      <c r="J19" s="101"/>
      <c r="K19" s="101"/>
      <c r="L19" s="101"/>
      <c r="M19" s="98"/>
      <c r="N19" s="98">
        <f>-M15*(1+1.5%)</f>
        <v>-487199.99999999994</v>
      </c>
      <c r="O19" s="74"/>
      <c r="Q19" s="2"/>
      <c r="R19" s="76"/>
      <c r="S19" s="76"/>
    </row>
    <row r="20" spans="2:19" x14ac:dyDescent="0.2">
      <c r="B20" s="73"/>
      <c r="C20" s="112" t="s">
        <v>129</v>
      </c>
      <c r="D20" s="180"/>
      <c r="E20" s="180"/>
      <c r="F20" s="113">
        <f>SUM(F17:F19)</f>
        <v>1566800</v>
      </c>
      <c r="G20" s="325">
        <f>SUM(G17:G19)</f>
        <v>1566800</v>
      </c>
      <c r="H20" s="325">
        <f t="shared" ref="H20:L20" si="2">SUM(H17:H19)</f>
        <v>0</v>
      </c>
      <c r="I20" s="325">
        <f t="shared" si="2"/>
        <v>0</v>
      </c>
      <c r="J20" s="325">
        <f t="shared" si="2"/>
        <v>0</v>
      </c>
      <c r="K20" s="325"/>
      <c r="L20" s="325">
        <f t="shared" si="2"/>
        <v>0</v>
      </c>
      <c r="M20" s="325">
        <f>SUM(M17:M19)</f>
        <v>492960</v>
      </c>
      <c r="N20" s="325">
        <f>SUM(N17:N19)</f>
        <v>1566800</v>
      </c>
      <c r="O20" s="74"/>
      <c r="R20" s="76"/>
    </row>
    <row r="21" spans="2:19" x14ac:dyDescent="0.2">
      <c r="B21" s="73"/>
      <c r="C21" s="326" t="s">
        <v>43</v>
      </c>
      <c r="D21" s="327"/>
      <c r="E21" s="104"/>
      <c r="F21" s="99"/>
      <c r="G21" s="156"/>
      <c r="H21" s="157"/>
      <c r="I21" s="156"/>
      <c r="J21" s="100"/>
      <c r="K21" s="100"/>
      <c r="L21" s="100"/>
      <c r="M21" s="98"/>
      <c r="N21" s="158"/>
      <c r="O21" s="48"/>
    </row>
    <row r="22" spans="2:19" x14ac:dyDescent="0.2">
      <c r="B22" s="73"/>
      <c r="C22" s="103" t="s">
        <v>130</v>
      </c>
      <c r="D22" s="178"/>
      <c r="E22" s="104"/>
      <c r="F22" s="99"/>
      <c r="G22" s="156"/>
      <c r="H22" s="157"/>
      <c r="I22" s="156"/>
      <c r="J22" s="100"/>
      <c r="K22" s="100"/>
      <c r="L22" s="100"/>
      <c r="M22" s="98"/>
      <c r="N22" s="158"/>
      <c r="O22" s="48"/>
    </row>
    <row r="23" spans="2:19" x14ac:dyDescent="0.2">
      <c r="B23" s="73"/>
      <c r="C23" s="97" t="s">
        <v>84</v>
      </c>
      <c r="D23" s="177"/>
      <c r="E23" s="98">
        <f>+E88</f>
        <v>12500000</v>
      </c>
      <c r="F23" s="99"/>
      <c r="G23" s="156"/>
      <c r="H23" s="157"/>
      <c r="I23" s="156"/>
      <c r="J23" s="100"/>
      <c r="K23" s="100"/>
      <c r="L23" s="100"/>
      <c r="M23" s="98"/>
      <c r="N23" s="158"/>
      <c r="O23" s="48"/>
      <c r="R23" s="76"/>
    </row>
    <row r="24" spans="2:19" x14ac:dyDescent="0.2">
      <c r="B24" s="73"/>
      <c r="C24" s="97" t="s">
        <v>85</v>
      </c>
      <c r="D24" s="177"/>
      <c r="E24" s="98">
        <f>+F24</f>
        <v>-1566800</v>
      </c>
      <c r="F24" s="99">
        <f>SUM(G24:H24)</f>
        <v>-1566800</v>
      </c>
      <c r="G24" s="156">
        <f>-G20</f>
        <v>-1566800</v>
      </c>
      <c r="H24" s="157"/>
      <c r="I24" s="156"/>
      <c r="J24" s="100"/>
      <c r="K24" s="100"/>
      <c r="L24" s="100"/>
      <c r="M24" s="98">
        <f>-M20</f>
        <v>-492960</v>
      </c>
      <c r="N24" s="158">
        <f>+G24</f>
        <v>-1566800</v>
      </c>
      <c r="O24" s="48"/>
      <c r="Q24" s="200" t="s">
        <v>209</v>
      </c>
      <c r="R24" s="76">
        <f>+G24</f>
        <v>-1566800</v>
      </c>
    </row>
    <row r="25" spans="2:19" x14ac:dyDescent="0.2">
      <c r="B25" s="73"/>
      <c r="C25" s="97" t="s">
        <v>86</v>
      </c>
      <c r="D25" s="177"/>
      <c r="E25" s="102">
        <f>SUM(E23:E24)</f>
        <v>10933200</v>
      </c>
      <c r="F25" s="99"/>
      <c r="G25" s="156"/>
      <c r="H25" s="157"/>
      <c r="I25" s="156"/>
      <c r="J25" s="100"/>
      <c r="K25" s="100"/>
      <c r="L25" s="100"/>
      <c r="M25" s="98"/>
      <c r="N25" s="158"/>
      <c r="O25" s="48"/>
      <c r="Q25" s="200" t="s">
        <v>210</v>
      </c>
      <c r="R25" s="76">
        <f>+R24*M14</f>
        <v>-494778.20519999997</v>
      </c>
    </row>
    <row r="26" spans="2:19" x14ac:dyDescent="0.2">
      <c r="B26" s="73"/>
      <c r="C26" s="97"/>
      <c r="D26" s="177"/>
      <c r="E26" s="98"/>
      <c r="F26" s="99"/>
      <c r="G26" s="156"/>
      <c r="H26" s="157"/>
      <c r="I26" s="156"/>
      <c r="J26" s="100"/>
      <c r="K26" s="100"/>
      <c r="L26" s="100"/>
      <c r="M26" s="98"/>
      <c r="N26" s="158"/>
      <c r="O26" s="48"/>
      <c r="Q26" s="18" t="s">
        <v>211</v>
      </c>
      <c r="R26" s="76">
        <f>-M20</f>
        <v>-492960</v>
      </c>
    </row>
    <row r="27" spans="2:19" x14ac:dyDescent="0.2">
      <c r="B27" s="73"/>
      <c r="C27" s="112" t="s">
        <v>131</v>
      </c>
      <c r="D27" s="180"/>
      <c r="E27" s="106"/>
      <c r="F27" s="113">
        <f>SUM(F20:F26)</f>
        <v>0</v>
      </c>
      <c r="G27" s="113">
        <f t="shared" ref="G27:N27" si="3">+SUM(G20:G26)</f>
        <v>0</v>
      </c>
      <c r="H27" s="113">
        <f t="shared" si="3"/>
        <v>0</v>
      </c>
      <c r="I27" s="113">
        <f t="shared" si="3"/>
        <v>0</v>
      </c>
      <c r="J27" s="113">
        <f t="shared" si="3"/>
        <v>0</v>
      </c>
      <c r="K27" s="113">
        <f t="shared" si="3"/>
        <v>0</v>
      </c>
      <c r="L27" s="113">
        <f t="shared" si="3"/>
        <v>0</v>
      </c>
      <c r="M27" s="113">
        <f t="shared" si="3"/>
        <v>0</v>
      </c>
      <c r="N27" s="113">
        <f t="shared" si="3"/>
        <v>0</v>
      </c>
      <c r="O27" s="74"/>
      <c r="Q27" s="18" t="s">
        <v>212</v>
      </c>
      <c r="R27" s="76">
        <f>+M24/M14</f>
        <v>-1561042.3415635123</v>
      </c>
    </row>
    <row r="28" spans="2:19" x14ac:dyDescent="0.2">
      <c r="B28" s="73"/>
      <c r="C28" s="97" t="s">
        <v>132</v>
      </c>
      <c r="D28" s="177"/>
      <c r="E28" s="105">
        <v>2E-3</v>
      </c>
      <c r="F28" s="328"/>
      <c r="G28" s="328">
        <f>ROUND(G27*$E$28,0)</f>
        <v>0</v>
      </c>
      <c r="H28" s="328">
        <f t="shared" ref="H28:N28" si="4">ROUND(H27*$E$28,0)</f>
        <v>0</v>
      </c>
      <c r="I28" s="328">
        <f t="shared" si="4"/>
        <v>0</v>
      </c>
      <c r="J28" s="328">
        <f t="shared" si="4"/>
        <v>0</v>
      </c>
      <c r="K28" s="328"/>
      <c r="L28" s="328">
        <f t="shared" si="4"/>
        <v>0</v>
      </c>
      <c r="M28" s="328">
        <f t="shared" si="4"/>
        <v>0</v>
      </c>
      <c r="N28" s="328">
        <f t="shared" si="4"/>
        <v>0</v>
      </c>
      <c r="O28" s="48"/>
      <c r="Q28" s="18" t="s">
        <v>213</v>
      </c>
      <c r="R28" s="76">
        <f>+R24-R27</f>
        <v>-5757.6584364876617</v>
      </c>
    </row>
    <row r="29" spans="2:19" x14ac:dyDescent="0.2">
      <c r="B29" s="73"/>
      <c r="C29" s="112" t="s">
        <v>133</v>
      </c>
      <c r="D29" s="180"/>
      <c r="E29" s="106"/>
      <c r="F29" s="113">
        <f>SUM(G29:I29)</f>
        <v>0</v>
      </c>
      <c r="G29" s="113">
        <f>SUM(G27:G28)</f>
        <v>0</v>
      </c>
      <c r="H29" s="113">
        <f t="shared" ref="H29:N29" si="5">SUM(H27:H28)</f>
        <v>0</v>
      </c>
      <c r="I29" s="113">
        <f t="shared" si="5"/>
        <v>0</v>
      </c>
      <c r="J29" s="113">
        <f t="shared" si="5"/>
        <v>0</v>
      </c>
      <c r="K29" s="113"/>
      <c r="L29" s="113">
        <f t="shared" si="5"/>
        <v>0</v>
      </c>
      <c r="M29" s="113">
        <f t="shared" si="5"/>
        <v>0</v>
      </c>
      <c r="N29" s="113">
        <f t="shared" si="5"/>
        <v>0</v>
      </c>
      <c r="O29" s="48"/>
      <c r="Q29" s="18" t="s">
        <v>214</v>
      </c>
      <c r="R29" s="76">
        <f>+R28*L14</f>
        <v>-2129.5448222946361</v>
      </c>
    </row>
    <row r="30" spans="2:19" x14ac:dyDescent="0.2">
      <c r="B30" s="73"/>
      <c r="C30" s="103"/>
      <c r="D30" s="178"/>
      <c r="E30" s="104"/>
      <c r="F30" s="324"/>
      <c r="G30" s="323"/>
      <c r="H30" s="322"/>
      <c r="I30" s="323"/>
      <c r="J30" s="321"/>
      <c r="K30" s="322"/>
      <c r="L30" s="321"/>
      <c r="M30" s="324"/>
      <c r="N30" s="324"/>
      <c r="O30" s="48"/>
    </row>
    <row r="31" spans="2:19" x14ac:dyDescent="0.2">
      <c r="B31" s="73"/>
      <c r="C31" s="103" t="s">
        <v>42</v>
      </c>
      <c r="D31" s="178"/>
      <c r="E31" s="104"/>
      <c r="F31" s="99"/>
      <c r="G31" s="156"/>
      <c r="H31" s="157"/>
      <c r="I31" s="156"/>
      <c r="J31" s="100"/>
      <c r="K31" s="100"/>
      <c r="L31" s="100"/>
      <c r="M31" s="98"/>
      <c r="N31" s="158"/>
      <c r="O31" s="48"/>
    </row>
    <row r="32" spans="2:19" x14ac:dyDescent="0.2">
      <c r="B32" s="73"/>
      <c r="C32" s="97" t="s">
        <v>215</v>
      </c>
      <c r="D32" s="177"/>
      <c r="E32" s="107"/>
      <c r="F32" s="98"/>
      <c r="G32" s="108"/>
      <c r="H32" s="101"/>
      <c r="I32" s="108"/>
      <c r="J32" s="329"/>
      <c r="K32" s="101">
        <f>+'Desarrollo Ejercicio n°12 A'!G24</f>
        <v>1546270</v>
      </c>
      <c r="L32" s="329"/>
      <c r="M32" s="98"/>
      <c r="N32" s="98"/>
      <c r="O32" s="74"/>
    </row>
    <row r="33" spans="2:19" x14ac:dyDescent="0.2">
      <c r="B33" s="73"/>
      <c r="C33" s="97" t="s">
        <v>217</v>
      </c>
      <c r="D33" s="177"/>
      <c r="E33" s="107"/>
      <c r="F33" s="98"/>
      <c r="G33" s="108"/>
      <c r="H33" s="101"/>
      <c r="I33" s="108"/>
      <c r="J33" s="101"/>
      <c r="K33" s="101">
        <f>+'Planteamiento Ejercicio n°12'!H42</f>
        <v>342281</v>
      </c>
      <c r="L33" s="101"/>
      <c r="M33" s="98"/>
      <c r="N33" s="98"/>
      <c r="O33" s="74"/>
    </row>
    <row r="34" spans="2:19" x14ac:dyDescent="0.2">
      <c r="B34" s="73"/>
      <c r="C34" s="97" t="s">
        <v>222</v>
      </c>
      <c r="D34" s="177"/>
      <c r="E34" s="107"/>
      <c r="F34" s="98"/>
      <c r="G34" s="108"/>
      <c r="H34" s="101"/>
      <c r="I34" s="108"/>
      <c r="J34" s="329"/>
      <c r="K34" s="330"/>
      <c r="L34" s="101">
        <f>+F83</f>
        <v>184932</v>
      </c>
      <c r="M34" s="98"/>
      <c r="N34" s="98"/>
      <c r="O34" s="74"/>
    </row>
    <row r="35" spans="2:19" x14ac:dyDescent="0.2">
      <c r="B35" s="73"/>
      <c r="C35" s="97" t="s">
        <v>224</v>
      </c>
      <c r="D35" s="177"/>
      <c r="E35" s="107"/>
      <c r="F35" s="101">
        <f>SUM(G35:I35)</f>
        <v>350000</v>
      </c>
      <c r="G35" s="108"/>
      <c r="H35" s="101"/>
      <c r="I35" s="108">
        <f>+C84</f>
        <v>350000</v>
      </c>
      <c r="J35" s="101"/>
      <c r="K35" s="101"/>
      <c r="L35" s="101"/>
      <c r="M35" s="98"/>
      <c r="N35" s="98"/>
      <c r="O35" s="74"/>
    </row>
    <row r="36" spans="2:19" x14ac:dyDescent="0.2">
      <c r="B36" s="73"/>
      <c r="C36" s="97" t="s">
        <v>87</v>
      </c>
      <c r="D36" s="177"/>
      <c r="E36" s="109"/>
      <c r="F36" s="101">
        <f>SUM(G36:I36)</f>
        <v>1581351</v>
      </c>
      <c r="G36" s="101">
        <f>+D100</f>
        <v>1581351</v>
      </c>
      <c r="H36" s="101"/>
      <c r="I36" s="108"/>
      <c r="J36" s="101"/>
      <c r="K36" s="101"/>
      <c r="L36" s="101"/>
      <c r="M36" s="98"/>
      <c r="N36" s="98"/>
      <c r="O36" s="74"/>
    </row>
    <row r="37" spans="2:19" x14ac:dyDescent="0.2">
      <c r="B37" s="73"/>
      <c r="C37" s="110"/>
      <c r="D37" s="179"/>
      <c r="E37" s="111"/>
      <c r="F37" s="111"/>
      <c r="G37" s="108"/>
      <c r="H37" s="101"/>
      <c r="I37" s="108"/>
      <c r="J37" s="174"/>
      <c r="K37" s="101"/>
      <c r="L37" s="174"/>
      <c r="M37" s="98"/>
      <c r="N37" s="98"/>
      <c r="O37" s="74"/>
    </row>
    <row r="38" spans="2:19" x14ac:dyDescent="0.2">
      <c r="B38" s="73"/>
      <c r="C38" s="112" t="s">
        <v>59</v>
      </c>
      <c r="D38" s="180"/>
      <c r="E38" s="106"/>
      <c r="F38" s="113">
        <f t="shared" ref="F38:N38" si="6">SUM(F29:F37)</f>
        <v>1931351</v>
      </c>
      <c r="G38" s="113">
        <f t="shared" si="6"/>
        <v>1581351</v>
      </c>
      <c r="H38" s="113">
        <f t="shared" si="6"/>
        <v>0</v>
      </c>
      <c r="I38" s="113">
        <f t="shared" si="6"/>
        <v>350000</v>
      </c>
      <c r="J38" s="113">
        <f t="shared" si="6"/>
        <v>0</v>
      </c>
      <c r="K38" s="113">
        <f t="shared" si="6"/>
        <v>1888551</v>
      </c>
      <c r="L38" s="113">
        <f t="shared" si="6"/>
        <v>184932</v>
      </c>
      <c r="M38" s="113">
        <f t="shared" si="6"/>
        <v>0</v>
      </c>
      <c r="N38" s="113">
        <f t="shared" si="6"/>
        <v>0</v>
      </c>
      <c r="O38" s="74"/>
    </row>
    <row r="39" spans="2:19" x14ac:dyDescent="0.2">
      <c r="B39" s="73"/>
      <c r="C39" s="217" t="s">
        <v>43</v>
      </c>
      <c r="D39" s="218"/>
      <c r="E39" s="219"/>
      <c r="F39" s="114"/>
      <c r="G39" s="108"/>
      <c r="H39" s="114"/>
      <c r="I39" s="108"/>
      <c r="J39" s="114"/>
      <c r="K39" s="114"/>
      <c r="L39" s="114"/>
      <c r="M39" s="114"/>
      <c r="N39" s="114"/>
      <c r="O39" s="74"/>
    </row>
    <row r="40" spans="2:19" x14ac:dyDescent="0.2">
      <c r="B40" s="73"/>
      <c r="C40" s="103" t="s">
        <v>88</v>
      </c>
      <c r="D40" s="178"/>
      <c r="E40" s="107"/>
      <c r="F40" s="101"/>
      <c r="G40" s="108"/>
      <c r="H40" s="101"/>
      <c r="I40" s="108"/>
      <c r="J40" s="101"/>
      <c r="K40" s="101"/>
      <c r="L40" s="101"/>
      <c r="M40" s="101"/>
      <c r="N40" s="101"/>
      <c r="O40" s="74"/>
    </row>
    <row r="41" spans="2:19" x14ac:dyDescent="0.2">
      <c r="B41" s="73"/>
      <c r="C41" s="97" t="s">
        <v>86</v>
      </c>
      <c r="D41" s="178"/>
      <c r="E41" s="98">
        <f>+I88</f>
        <v>10955066</v>
      </c>
      <c r="F41" s="101"/>
      <c r="G41" s="108"/>
      <c r="H41" s="101"/>
      <c r="I41" s="108"/>
      <c r="J41" s="101"/>
      <c r="K41" s="101"/>
      <c r="L41" s="101"/>
      <c r="M41" s="101"/>
      <c r="N41" s="101"/>
      <c r="O41" s="74"/>
    </row>
    <row r="42" spans="2:19" x14ac:dyDescent="0.2">
      <c r="B42" s="73"/>
      <c r="C42" s="97" t="s">
        <v>140</v>
      </c>
      <c r="D42" s="177"/>
      <c r="E42" s="158">
        <f>+F42</f>
        <v>-1931351</v>
      </c>
      <c r="F42" s="101">
        <f>SUM(G42:I42)</f>
        <v>-1931351</v>
      </c>
      <c r="G42" s="331">
        <f>-G38</f>
        <v>-1581351</v>
      </c>
      <c r="H42" s="329"/>
      <c r="I42" s="331">
        <f>-I38</f>
        <v>-350000</v>
      </c>
      <c r="J42" s="329"/>
      <c r="K42" s="101">
        <f>+G42*K14-L42</f>
        <v>-399951.22491300001</v>
      </c>
      <c r="L42" s="101">
        <f>-L38</f>
        <v>-184932</v>
      </c>
      <c r="M42" s="329"/>
      <c r="N42" s="329"/>
      <c r="O42" s="74"/>
      <c r="Q42" s="18" t="s">
        <v>226</v>
      </c>
      <c r="S42" s="76">
        <f>+K38+K42</f>
        <v>1488599.7750869999</v>
      </c>
    </row>
    <row r="43" spans="2:19" x14ac:dyDescent="0.2">
      <c r="B43" s="73"/>
      <c r="C43" s="326" t="s">
        <v>225</v>
      </c>
      <c r="D43" s="327"/>
      <c r="E43" s="332">
        <f>SUM(E41:E42)</f>
        <v>9023715</v>
      </c>
      <c r="F43" s="101"/>
      <c r="G43" s="333"/>
      <c r="H43" s="329"/>
      <c r="I43" s="156"/>
      <c r="J43" s="329"/>
      <c r="K43" s="329"/>
      <c r="L43" s="329"/>
      <c r="M43" s="329"/>
      <c r="N43" s="329"/>
      <c r="O43" s="74"/>
      <c r="Q43" s="18" t="s">
        <v>227</v>
      </c>
      <c r="S43" s="76">
        <f>+S42/K14</f>
        <v>4024732.8742994023</v>
      </c>
    </row>
    <row r="44" spans="2:19" x14ac:dyDescent="0.2">
      <c r="B44" s="73"/>
      <c r="C44" s="326"/>
      <c r="D44" s="327"/>
      <c r="E44" s="324"/>
      <c r="F44" s="101"/>
      <c r="G44" s="333"/>
      <c r="H44" s="329"/>
      <c r="I44" s="156"/>
      <c r="J44" s="329"/>
      <c r="K44" s="329"/>
      <c r="L44" s="329"/>
      <c r="M44" s="329"/>
      <c r="N44" s="329"/>
      <c r="O44" s="74"/>
      <c r="Q44" s="18" t="s">
        <v>228</v>
      </c>
      <c r="S44" s="76">
        <f>+E43-S43</f>
        <v>4998982.1257005977</v>
      </c>
    </row>
    <row r="45" spans="2:19" x14ac:dyDescent="0.2">
      <c r="B45" s="73"/>
      <c r="C45" s="326" t="s">
        <v>160</v>
      </c>
      <c r="D45" s="327"/>
      <c r="E45" s="324"/>
      <c r="F45" s="101"/>
      <c r="G45" s="333"/>
      <c r="H45" s="329"/>
      <c r="I45" s="156"/>
      <c r="J45" s="157"/>
      <c r="K45" s="157">
        <f>-K38-K42</f>
        <v>-1488599.7750869999</v>
      </c>
      <c r="L45" s="157"/>
      <c r="M45" s="329"/>
      <c r="N45" s="329"/>
      <c r="O45" s="74"/>
      <c r="Q45" s="18" t="s">
        <v>229</v>
      </c>
      <c r="S45" s="76">
        <f>+S44*K14</f>
        <v>1848938.5259580002</v>
      </c>
    </row>
    <row r="46" spans="2:19" x14ac:dyDescent="0.2">
      <c r="B46" s="73"/>
      <c r="C46" s="326"/>
      <c r="D46" s="327"/>
      <c r="E46" s="324"/>
      <c r="F46" s="101"/>
      <c r="G46" s="333"/>
      <c r="H46" s="329"/>
      <c r="I46" s="156"/>
      <c r="J46" s="329"/>
      <c r="K46" s="329"/>
      <c r="L46" s="329"/>
      <c r="M46" s="329"/>
      <c r="N46" s="329"/>
      <c r="O46" s="74"/>
    </row>
    <row r="47" spans="2:19" x14ac:dyDescent="0.2">
      <c r="B47" s="73"/>
      <c r="C47" s="326" t="s">
        <v>43</v>
      </c>
      <c r="D47" s="327"/>
      <c r="E47" s="324"/>
      <c r="F47" s="329"/>
      <c r="G47" s="333"/>
      <c r="H47" s="329"/>
      <c r="I47" s="330"/>
      <c r="J47" s="329"/>
      <c r="K47" s="329"/>
      <c r="L47" s="329"/>
      <c r="M47" s="329"/>
      <c r="N47" s="329"/>
      <c r="O47" s="74"/>
    </row>
    <row r="48" spans="2:19" x14ac:dyDescent="0.2">
      <c r="B48" s="73"/>
      <c r="C48" s="334" t="s">
        <v>11</v>
      </c>
      <c r="D48" s="333"/>
      <c r="E48" s="98">
        <f>-'Desarrollo Ejercicio n°12 A'!F14</f>
        <v>-325000</v>
      </c>
      <c r="F48" s="329"/>
      <c r="G48" s="333"/>
      <c r="H48" s="329"/>
      <c r="I48" s="333"/>
      <c r="J48" s="101"/>
      <c r="K48" s="101">
        <f>ROUND(E48*J14,0)</f>
        <v>-120205</v>
      </c>
      <c r="L48" s="330"/>
      <c r="M48" s="329"/>
      <c r="N48" s="329"/>
      <c r="O48" s="74"/>
    </row>
    <row r="49" spans="2:15" x14ac:dyDescent="0.2">
      <c r="B49" s="73"/>
      <c r="C49" s="335"/>
      <c r="D49" s="336"/>
      <c r="E49" s="337"/>
      <c r="F49" s="338"/>
      <c r="G49" s="333"/>
      <c r="H49" s="338"/>
      <c r="I49" s="333"/>
      <c r="J49" s="338"/>
      <c r="K49" s="329"/>
      <c r="L49" s="329"/>
      <c r="M49" s="329"/>
      <c r="N49" s="329"/>
      <c r="O49" s="74"/>
    </row>
    <row r="50" spans="2:15" x14ac:dyDescent="0.2">
      <c r="B50" s="73"/>
      <c r="C50" s="112" t="s">
        <v>44</v>
      </c>
      <c r="D50" s="180"/>
      <c r="E50" s="106"/>
      <c r="F50" s="113">
        <f t="shared" ref="F50:N50" si="7">SUM(F38:F49)</f>
        <v>0</v>
      </c>
      <c r="G50" s="339">
        <f t="shared" si="7"/>
        <v>0</v>
      </c>
      <c r="H50" s="113">
        <f t="shared" si="7"/>
        <v>0</v>
      </c>
      <c r="I50" s="339">
        <f t="shared" si="7"/>
        <v>0</v>
      </c>
      <c r="J50" s="113">
        <f t="shared" si="7"/>
        <v>0</v>
      </c>
      <c r="K50" s="113">
        <f t="shared" si="7"/>
        <v>-120205</v>
      </c>
      <c r="L50" s="113">
        <f t="shared" si="7"/>
        <v>0</v>
      </c>
      <c r="M50" s="113">
        <f t="shared" si="7"/>
        <v>0</v>
      </c>
      <c r="N50" s="113">
        <f t="shared" si="7"/>
        <v>0</v>
      </c>
      <c r="O50" s="74"/>
    </row>
    <row r="51" spans="2:15" x14ac:dyDescent="0.2">
      <c r="B51" s="73"/>
      <c r="C51" s="57"/>
      <c r="D51" s="57"/>
      <c r="E51" s="57"/>
      <c r="F51" s="19"/>
      <c r="G51" s="19"/>
      <c r="H51" s="19"/>
      <c r="I51" s="19"/>
      <c r="J51" s="19"/>
      <c r="K51" s="19"/>
      <c r="L51" s="19"/>
      <c r="M51" s="19"/>
      <c r="N51" s="19"/>
      <c r="O51" s="74"/>
    </row>
    <row r="52" spans="2:15" x14ac:dyDescent="0.2">
      <c r="B52" s="73"/>
      <c r="C52" s="57"/>
      <c r="D52" s="57"/>
      <c r="E52" s="57"/>
      <c r="F52" s="19"/>
      <c r="G52" s="19"/>
      <c r="H52" s="19"/>
      <c r="I52" s="19"/>
      <c r="J52" s="19"/>
      <c r="K52" s="19"/>
      <c r="L52" s="19"/>
      <c r="M52" s="19"/>
      <c r="N52" s="19"/>
      <c r="O52" s="74"/>
    </row>
    <row r="53" spans="2:15" x14ac:dyDescent="0.2">
      <c r="B53" s="73"/>
      <c r="C53" s="8" t="s">
        <v>165</v>
      </c>
      <c r="D53" s="57"/>
      <c r="E53" s="57"/>
      <c r="F53" s="19"/>
      <c r="G53" s="19"/>
      <c r="H53" s="19"/>
      <c r="I53" s="19"/>
      <c r="J53" s="19"/>
      <c r="K53" s="19"/>
      <c r="L53" s="19"/>
      <c r="M53" s="19"/>
      <c r="N53" s="19"/>
      <c r="O53" s="74"/>
    </row>
    <row r="54" spans="2:15" x14ac:dyDescent="0.2">
      <c r="B54" s="73"/>
      <c r="C54" s="9"/>
      <c r="D54" s="57"/>
      <c r="E54" s="57"/>
      <c r="F54" s="19"/>
      <c r="G54" s="19"/>
      <c r="H54" s="19"/>
      <c r="I54" s="19"/>
      <c r="J54" s="19"/>
      <c r="K54" s="19"/>
      <c r="L54" s="19"/>
      <c r="M54" s="19"/>
      <c r="N54" s="19"/>
      <c r="O54" s="74"/>
    </row>
    <row r="55" spans="2:15" x14ac:dyDescent="0.2">
      <c r="B55" s="73"/>
      <c r="C55" s="340" t="s">
        <v>52</v>
      </c>
      <c r="D55" s="341" t="s">
        <v>232</v>
      </c>
      <c r="E55" s="342" t="s">
        <v>233</v>
      </c>
      <c r="F55" s="225"/>
      <c r="H55" s="291"/>
      <c r="I55" s="19"/>
      <c r="J55" s="19"/>
      <c r="K55" s="19"/>
      <c r="L55" s="19"/>
      <c r="M55" s="19"/>
      <c r="N55" s="19"/>
      <c r="O55" s="74"/>
    </row>
    <row r="56" spans="2:15" x14ac:dyDescent="0.2">
      <c r="B56" s="73"/>
      <c r="C56" s="227">
        <f>+K38+K42</f>
        <v>1488599.7750869999</v>
      </c>
      <c r="D56" s="57">
        <f>+J14</f>
        <v>0.369863</v>
      </c>
      <c r="E56" s="224">
        <f>ROUND(C56/D56,0)</f>
        <v>4024733</v>
      </c>
      <c r="F56" s="19"/>
      <c r="G56" s="19"/>
      <c r="H56" s="291"/>
      <c r="I56" s="19"/>
      <c r="J56" s="19"/>
      <c r="K56" s="19"/>
      <c r="L56" s="19"/>
      <c r="M56" s="19"/>
      <c r="N56" s="19"/>
      <c r="O56" s="74"/>
    </row>
    <row r="57" spans="2:15" x14ac:dyDescent="0.2">
      <c r="B57" s="73"/>
      <c r="C57" s="9"/>
      <c r="D57" s="210" t="s">
        <v>161</v>
      </c>
      <c r="E57" s="229">
        <f>SUM(E56:E56)</f>
        <v>4024733</v>
      </c>
      <c r="F57" s="19"/>
      <c r="G57" s="19"/>
      <c r="H57" s="19"/>
      <c r="I57" s="19"/>
      <c r="J57" s="19"/>
      <c r="K57" s="19"/>
      <c r="L57" s="19"/>
      <c r="M57" s="19"/>
      <c r="N57" s="19"/>
      <c r="O57" s="74"/>
    </row>
    <row r="58" spans="2:15" x14ac:dyDescent="0.2">
      <c r="B58" s="73"/>
      <c r="C58" s="9"/>
      <c r="D58" s="57"/>
      <c r="E58" s="228"/>
      <c r="F58" s="19"/>
      <c r="G58" s="19"/>
      <c r="H58" s="19"/>
      <c r="I58" s="19"/>
      <c r="J58" s="19"/>
      <c r="K58" s="19"/>
      <c r="L58" s="19"/>
      <c r="M58" s="19"/>
      <c r="N58" s="19"/>
      <c r="O58" s="74"/>
    </row>
    <row r="59" spans="2:15" x14ac:dyDescent="0.2">
      <c r="B59" s="73"/>
      <c r="C59" s="8" t="s">
        <v>167</v>
      </c>
      <c r="D59" s="6"/>
      <c r="E59" s="230">
        <f>+E43</f>
        <v>9023715</v>
      </c>
      <c r="F59" s="19"/>
      <c r="G59" s="19"/>
      <c r="H59" s="19"/>
      <c r="I59" s="19"/>
      <c r="J59" s="19"/>
      <c r="K59" s="19"/>
      <c r="L59" s="19"/>
      <c r="M59" s="19"/>
      <c r="N59" s="19"/>
      <c r="O59" s="74"/>
    </row>
    <row r="60" spans="2:15" ht="13.5" thickBot="1" x14ac:dyDescent="0.25">
      <c r="B60" s="73"/>
      <c r="C60" s="8" t="s">
        <v>166</v>
      </c>
      <c r="D60" s="6"/>
      <c r="E60" s="254">
        <f>+E59-E57</f>
        <v>4998982</v>
      </c>
      <c r="F60" s="19"/>
      <c r="G60" s="19"/>
      <c r="H60" s="19"/>
      <c r="I60" s="19"/>
      <c r="J60" s="19"/>
      <c r="K60" s="19"/>
      <c r="L60" s="19"/>
      <c r="M60" s="19"/>
      <c r="N60" s="19"/>
      <c r="O60" s="74"/>
    </row>
    <row r="61" spans="2:15" ht="13.5" thickTop="1" x14ac:dyDescent="0.2">
      <c r="B61" s="73"/>
      <c r="C61" s="57"/>
      <c r="D61" s="57"/>
      <c r="E61" s="57"/>
      <c r="F61" s="19"/>
      <c r="G61" s="19"/>
      <c r="H61" s="19"/>
      <c r="I61" s="19"/>
      <c r="J61" s="19"/>
      <c r="K61" s="19"/>
      <c r="L61" s="19"/>
      <c r="M61" s="19"/>
      <c r="N61" s="19"/>
      <c r="O61" s="74"/>
    </row>
    <row r="62" spans="2:15" x14ac:dyDescent="0.2">
      <c r="B62" s="73"/>
      <c r="C62" s="57"/>
      <c r="D62" s="57"/>
      <c r="E62" s="57"/>
      <c r="F62" s="19"/>
      <c r="G62" s="19"/>
      <c r="H62" s="19"/>
      <c r="I62" s="19"/>
      <c r="J62" s="19"/>
      <c r="K62" s="19"/>
      <c r="L62" s="19"/>
      <c r="M62" s="19"/>
      <c r="N62" s="19"/>
      <c r="O62" s="74"/>
    </row>
    <row r="63" spans="2:15" x14ac:dyDescent="0.2">
      <c r="B63" s="73"/>
      <c r="C63" s="81" t="s">
        <v>148</v>
      </c>
      <c r="D63" s="57"/>
      <c r="E63" s="57"/>
      <c r="F63" s="19"/>
      <c r="G63" s="19"/>
      <c r="H63" s="19"/>
      <c r="I63" s="19"/>
      <c r="J63" s="19"/>
      <c r="K63" s="19"/>
      <c r="L63" s="19"/>
      <c r="M63" s="19"/>
      <c r="N63" s="19"/>
      <c r="O63" s="74"/>
    </row>
    <row r="64" spans="2:15" x14ac:dyDescent="0.2">
      <c r="B64" s="73"/>
      <c r="C64" s="72" t="s">
        <v>141</v>
      </c>
      <c r="D64" s="72"/>
      <c r="E64" s="142">
        <f>+E60</f>
        <v>4998982</v>
      </c>
      <c r="F64" s="19"/>
      <c r="G64" s="19"/>
      <c r="H64" s="19"/>
      <c r="I64" s="19"/>
      <c r="J64" s="19"/>
      <c r="K64" s="19"/>
      <c r="L64" s="19"/>
      <c r="M64" s="19"/>
      <c r="N64" s="19"/>
      <c r="O64" s="74"/>
    </row>
    <row r="65" spans="2:15" x14ac:dyDescent="0.2">
      <c r="B65" s="73"/>
      <c r="C65" s="72" t="s">
        <v>230</v>
      </c>
      <c r="D65" s="72"/>
      <c r="E65" s="142">
        <f>ROUND(E64*1.369863,0)</f>
        <v>6847920</v>
      </c>
      <c r="F65" s="19"/>
      <c r="G65" s="19"/>
      <c r="H65" s="19"/>
      <c r="I65" s="19"/>
      <c r="J65" s="19"/>
      <c r="K65" s="19"/>
      <c r="L65" s="19"/>
      <c r="M65" s="19"/>
      <c r="N65" s="19"/>
      <c r="O65" s="74"/>
    </row>
    <row r="66" spans="2:15" x14ac:dyDescent="0.2">
      <c r="B66" s="73"/>
      <c r="C66" s="38" t="s">
        <v>143</v>
      </c>
      <c r="D66" s="182">
        <v>0.27</v>
      </c>
      <c r="E66" s="183">
        <f>+E65*D66</f>
        <v>1848938.4000000001</v>
      </c>
      <c r="F66" s="19"/>
      <c r="G66" s="19"/>
      <c r="H66" s="19"/>
      <c r="I66" s="19"/>
      <c r="J66" s="19"/>
      <c r="K66" s="19"/>
      <c r="L66" s="19"/>
      <c r="M66" s="19"/>
      <c r="N66" s="19"/>
      <c r="O66" s="74"/>
    </row>
    <row r="67" spans="2:15" x14ac:dyDescent="0.2">
      <c r="B67" s="73"/>
      <c r="C67" s="57"/>
      <c r="D67" s="57"/>
      <c r="E67" s="57"/>
      <c r="F67" s="19"/>
      <c r="G67" s="19"/>
      <c r="H67" s="19"/>
      <c r="I67" s="19"/>
      <c r="J67" s="19"/>
      <c r="K67" s="19"/>
      <c r="L67" s="19"/>
      <c r="M67" s="19"/>
      <c r="N67" s="19"/>
      <c r="O67" s="74"/>
    </row>
    <row r="68" spans="2:15" x14ac:dyDescent="0.2">
      <c r="B68" s="73"/>
      <c r="C68" s="57"/>
      <c r="D68" s="57"/>
      <c r="E68" s="57"/>
      <c r="F68" s="19"/>
      <c r="G68" s="19"/>
      <c r="H68" s="19"/>
      <c r="I68" s="19"/>
      <c r="J68" s="19"/>
      <c r="K68" s="19"/>
      <c r="L68" s="19"/>
      <c r="M68" s="19"/>
      <c r="N68" s="19"/>
      <c r="O68" s="74"/>
    </row>
    <row r="69" spans="2:15" x14ac:dyDescent="0.2">
      <c r="B69" s="73"/>
      <c r="C69" s="75" t="s">
        <v>147</v>
      </c>
      <c r="D69" s="75"/>
      <c r="E69" s="82" t="s">
        <v>89</v>
      </c>
      <c r="F69" s="82" t="s">
        <v>90</v>
      </c>
      <c r="G69" s="82" t="s">
        <v>168</v>
      </c>
      <c r="H69" s="82" t="s">
        <v>161</v>
      </c>
      <c r="I69" s="72"/>
      <c r="J69" s="72"/>
      <c r="K69" s="72"/>
      <c r="L69" s="72"/>
      <c r="M69" s="72"/>
      <c r="N69" s="72"/>
      <c r="O69" s="74"/>
    </row>
    <row r="70" spans="2:15" x14ac:dyDescent="0.2">
      <c r="B70" s="73"/>
      <c r="C70" s="163" t="s">
        <v>91</v>
      </c>
      <c r="D70" s="163"/>
      <c r="E70" s="184">
        <v>0.15</v>
      </c>
      <c r="F70" s="184">
        <v>0.5</v>
      </c>
      <c r="G70" s="184">
        <v>0.35</v>
      </c>
      <c r="H70" s="72"/>
      <c r="I70" s="72"/>
      <c r="J70" s="72"/>
      <c r="K70" s="72"/>
      <c r="L70" s="72"/>
      <c r="M70" s="72"/>
      <c r="N70" s="72"/>
      <c r="O70" s="74"/>
    </row>
    <row r="71" spans="2:15" x14ac:dyDescent="0.2">
      <c r="B71" s="73"/>
      <c r="C71" s="72" t="s">
        <v>134</v>
      </c>
      <c r="D71" s="72"/>
      <c r="E71" s="89">
        <f>(-$E$24)*$E$70</f>
        <v>235020</v>
      </c>
      <c r="F71" s="89">
        <f>(-$E$24)*$F$70</f>
        <v>783400</v>
      </c>
      <c r="G71" s="89">
        <f>(-$E$24)*$G$70</f>
        <v>548380</v>
      </c>
      <c r="H71" s="142">
        <f>SUM(E71:G71)</f>
        <v>1566800</v>
      </c>
      <c r="I71" s="72"/>
      <c r="J71" s="72"/>
      <c r="K71" s="72"/>
      <c r="L71" s="72"/>
      <c r="M71" s="72"/>
      <c r="N71" s="72"/>
      <c r="O71" s="74"/>
    </row>
    <row r="72" spans="2:15" x14ac:dyDescent="0.2">
      <c r="B72" s="73"/>
      <c r="C72" s="72" t="s">
        <v>135</v>
      </c>
      <c r="D72" s="72"/>
      <c r="E72" s="89">
        <f>-E42*$E$70</f>
        <v>289702.64999999997</v>
      </c>
      <c r="F72" s="89">
        <f>-E42*$F$70</f>
        <v>965675.5</v>
      </c>
      <c r="G72" s="89">
        <f>-E42*$G$70</f>
        <v>675972.85</v>
      </c>
      <c r="H72" s="142">
        <f>SUM(E72:G72)</f>
        <v>1931351</v>
      </c>
      <c r="I72" s="72"/>
      <c r="J72" s="72"/>
      <c r="K72" s="72"/>
      <c r="L72" s="72"/>
      <c r="M72" s="72"/>
      <c r="N72" s="72"/>
      <c r="O72" s="74"/>
    </row>
    <row r="73" spans="2:15" x14ac:dyDescent="0.2">
      <c r="B73" s="73"/>
      <c r="C73" s="72" t="s">
        <v>162</v>
      </c>
      <c r="D73" s="72"/>
      <c r="E73" s="89">
        <f>+E57*$E$70</f>
        <v>603709.94999999995</v>
      </c>
      <c r="F73" s="89">
        <f>+E57*$F$70</f>
        <v>2012366.5</v>
      </c>
      <c r="G73" s="89">
        <f>+E57*$G$70</f>
        <v>1408656.5499999998</v>
      </c>
      <c r="H73" s="142">
        <f t="shared" ref="H73:H74" si="8">SUM(E73:G73)</f>
        <v>4024733</v>
      </c>
      <c r="I73" s="72"/>
      <c r="J73" s="72"/>
      <c r="K73" s="72"/>
      <c r="L73" s="72"/>
      <c r="M73" s="72"/>
      <c r="N73" s="72"/>
      <c r="O73" s="74"/>
    </row>
    <row r="74" spans="2:15" x14ac:dyDescent="0.2">
      <c r="B74" s="73"/>
      <c r="C74" s="72" t="s">
        <v>163</v>
      </c>
      <c r="D74" s="72"/>
      <c r="E74" s="89">
        <f>+E64*$E$70</f>
        <v>749847.29999999993</v>
      </c>
      <c r="F74" s="89">
        <f>+E64*$F$70</f>
        <v>2499491</v>
      </c>
      <c r="G74" s="89">
        <f>+E64*$G$70</f>
        <v>1749643.7</v>
      </c>
      <c r="H74" s="142">
        <f t="shared" si="8"/>
        <v>4998982</v>
      </c>
      <c r="I74" s="72"/>
      <c r="J74" s="72"/>
      <c r="K74" s="72"/>
      <c r="L74" s="72"/>
      <c r="M74" s="72"/>
      <c r="N74" s="72"/>
      <c r="O74" s="74"/>
    </row>
    <row r="75" spans="2:15" x14ac:dyDescent="0.2">
      <c r="B75" s="73"/>
      <c r="C75" s="72"/>
      <c r="D75" s="72"/>
      <c r="E75" s="83"/>
      <c r="F75" s="83"/>
      <c r="H75" s="72"/>
      <c r="I75" s="72"/>
      <c r="J75" s="72"/>
      <c r="K75" s="72"/>
      <c r="L75" s="72"/>
      <c r="M75" s="72"/>
      <c r="N75" s="72"/>
      <c r="O75" s="74"/>
    </row>
    <row r="76" spans="2:15" x14ac:dyDescent="0.2">
      <c r="B76" s="73"/>
      <c r="C76" s="145" t="s">
        <v>92</v>
      </c>
      <c r="D76" s="181"/>
      <c r="E76" s="117">
        <f>SUM(E71:E75)</f>
        <v>1878279.9</v>
      </c>
      <c r="F76" s="117">
        <f>SUM(F71:F75)</f>
        <v>6260933</v>
      </c>
      <c r="G76" s="185">
        <f>SUM(G71:G75)</f>
        <v>4382653.0999999996</v>
      </c>
      <c r="H76" s="231">
        <f>SUM(E76:G76)</f>
        <v>12521866</v>
      </c>
      <c r="I76" s="72"/>
      <c r="J76" s="72"/>
      <c r="K76" s="72"/>
      <c r="L76" s="72"/>
      <c r="M76" s="72"/>
      <c r="N76" s="72"/>
      <c r="O76" s="74"/>
    </row>
    <row r="77" spans="2:15" x14ac:dyDescent="0.2">
      <c r="B77" s="73"/>
      <c r="C77" s="75"/>
      <c r="D77" s="75"/>
      <c r="E77" s="84"/>
      <c r="F77" s="84"/>
      <c r="G77" s="72"/>
      <c r="H77" s="72"/>
      <c r="I77" s="72"/>
      <c r="J77" s="72"/>
      <c r="K77" s="72"/>
      <c r="L77" s="72"/>
      <c r="M77" s="72"/>
      <c r="N77" s="72"/>
      <c r="O77" s="74"/>
    </row>
    <row r="78" spans="2:15" x14ac:dyDescent="0.2">
      <c r="B78" s="73"/>
      <c r="C78" s="75"/>
      <c r="D78" s="75"/>
      <c r="E78" s="84"/>
      <c r="F78" s="84"/>
      <c r="G78" s="72"/>
      <c r="H78" s="72"/>
      <c r="I78" s="72"/>
      <c r="J78" s="72"/>
      <c r="K78" s="72"/>
      <c r="L78" s="72"/>
      <c r="M78" s="72"/>
      <c r="N78" s="72"/>
      <c r="O78" s="74"/>
    </row>
    <row r="79" spans="2:15" x14ac:dyDescent="0.2">
      <c r="B79" s="73"/>
      <c r="C79" s="163" t="s">
        <v>50</v>
      </c>
      <c r="D79" s="163"/>
      <c r="E79" s="84"/>
      <c r="F79" s="84"/>
      <c r="G79" s="72"/>
      <c r="H79" s="72"/>
      <c r="I79" s="72"/>
      <c r="J79" s="72"/>
      <c r="K79" s="72"/>
      <c r="L79" s="72"/>
      <c r="M79" s="72"/>
      <c r="N79" s="72"/>
      <c r="O79" s="74"/>
    </row>
    <row r="80" spans="2:15" x14ac:dyDescent="0.2">
      <c r="B80" s="73"/>
      <c r="C80" s="57"/>
      <c r="D80" s="57"/>
      <c r="E80" s="57"/>
      <c r="F80" s="57"/>
      <c r="G80" s="72"/>
      <c r="H80" s="72"/>
      <c r="I80" s="72"/>
      <c r="J80" s="72"/>
      <c r="K80" s="72"/>
      <c r="L80" s="72"/>
      <c r="M80" s="72"/>
      <c r="N80" s="72"/>
      <c r="O80" s="74"/>
    </row>
    <row r="81" spans="2:17" x14ac:dyDescent="0.2">
      <c r="B81" s="73"/>
      <c r="C81" s="208" t="s">
        <v>137</v>
      </c>
      <c r="D81" s="208" t="s">
        <v>145</v>
      </c>
      <c r="E81" s="186" t="s">
        <v>138</v>
      </c>
      <c r="F81" s="33" t="s">
        <v>52</v>
      </c>
      <c r="G81" s="72"/>
      <c r="H81" s="72"/>
      <c r="I81" s="72"/>
      <c r="J81" s="142"/>
      <c r="K81" s="142"/>
      <c r="L81" s="142"/>
      <c r="M81" s="72"/>
      <c r="N81" s="72"/>
      <c r="O81" s="74"/>
    </row>
    <row r="82" spans="2:17" x14ac:dyDescent="0.2">
      <c r="B82" s="73"/>
      <c r="C82" s="169">
        <f>-'Desarrollo Ejercicio n°12 A'!F18</f>
        <v>1000000</v>
      </c>
      <c r="D82" s="187" t="s">
        <v>231</v>
      </c>
      <c r="E82" s="171" t="s">
        <v>231</v>
      </c>
      <c r="F82" s="172">
        <f>+'Planteamiento Ejercicio n°12'!H42</f>
        <v>342281</v>
      </c>
      <c r="G82" s="72"/>
      <c r="H82" s="19"/>
      <c r="I82" s="142"/>
      <c r="J82" s="142"/>
      <c r="K82" s="142"/>
      <c r="L82" s="142"/>
      <c r="M82" s="72"/>
      <c r="N82" s="72"/>
      <c r="O82" s="74"/>
    </row>
    <row r="83" spans="2:17" x14ac:dyDescent="0.2">
      <c r="B83" s="73"/>
      <c r="C83" s="169">
        <f>-'Desarrollo Ejercicio n°12 A'!F19</f>
        <v>500000</v>
      </c>
      <c r="D83" s="187">
        <v>0.27</v>
      </c>
      <c r="E83" s="171">
        <v>0.369863</v>
      </c>
      <c r="F83" s="172">
        <f>ROUND(+C83*E83,0)</f>
        <v>184932</v>
      </c>
      <c r="G83" s="72"/>
      <c r="H83" s="72"/>
      <c r="I83" s="72"/>
      <c r="J83" s="142"/>
      <c r="K83" s="142"/>
      <c r="L83" s="142"/>
      <c r="M83" s="72"/>
      <c r="N83" s="72"/>
      <c r="O83" s="74"/>
    </row>
    <row r="84" spans="2:17" x14ac:dyDescent="0.2">
      <c r="B84" s="73"/>
      <c r="C84" s="172">
        <f>-'Desarrollo Ejercicio n°12 A'!F20</f>
        <v>350000</v>
      </c>
      <c r="D84" s="188">
        <v>0</v>
      </c>
      <c r="E84" s="171">
        <v>0</v>
      </c>
      <c r="F84" s="173">
        <v>0</v>
      </c>
      <c r="G84" s="72"/>
      <c r="H84" s="72"/>
      <c r="I84" s="72"/>
      <c r="J84" s="142"/>
      <c r="K84" s="142"/>
      <c r="L84" s="142"/>
      <c r="M84" s="72"/>
      <c r="N84" s="72"/>
      <c r="O84" s="74"/>
    </row>
    <row r="85" spans="2:17" x14ac:dyDescent="0.2">
      <c r="B85" s="73"/>
      <c r="C85" s="164"/>
      <c r="D85" s="164"/>
      <c r="E85" s="57"/>
      <c r="F85" s="164"/>
      <c r="G85" s="72"/>
      <c r="H85" s="72"/>
      <c r="I85" s="72"/>
      <c r="J85" s="164"/>
      <c r="K85" s="164"/>
      <c r="L85" s="164"/>
      <c r="M85" s="72"/>
      <c r="N85" s="72"/>
      <c r="O85" s="74"/>
    </row>
    <row r="86" spans="2:17" x14ac:dyDescent="0.2">
      <c r="B86" s="73"/>
      <c r="C86" s="57"/>
      <c r="D86" s="57"/>
      <c r="E86" s="57"/>
      <c r="F86" s="57"/>
      <c r="G86" s="57"/>
      <c r="H86" s="57"/>
      <c r="I86" s="72"/>
      <c r="J86" s="72"/>
      <c r="K86" s="72"/>
      <c r="L86" s="72"/>
      <c r="M86" s="72"/>
      <c r="N86" s="72"/>
      <c r="O86" s="74"/>
    </row>
    <row r="87" spans="2:17" ht="25.5" x14ac:dyDescent="0.2">
      <c r="B87" s="73"/>
      <c r="C87" s="72"/>
      <c r="D87" s="72"/>
      <c r="E87" s="211" t="s">
        <v>93</v>
      </c>
      <c r="F87" s="211" t="s">
        <v>94</v>
      </c>
      <c r="G87" s="211" t="s">
        <v>95</v>
      </c>
      <c r="H87" s="211" t="s">
        <v>54</v>
      </c>
      <c r="I87" s="36" t="s">
        <v>96</v>
      </c>
      <c r="J87" s="72"/>
      <c r="K87" s="72"/>
      <c r="L87" s="72"/>
      <c r="M87" s="72"/>
      <c r="N87" s="72"/>
      <c r="O87" s="74"/>
    </row>
    <row r="88" spans="2:17" x14ac:dyDescent="0.2">
      <c r="B88" s="73"/>
      <c r="C88" s="189" t="s">
        <v>136</v>
      </c>
      <c r="D88" s="190"/>
      <c r="E88" s="55">
        <f>12500000</f>
        <v>12500000</v>
      </c>
      <c r="F88" s="95">
        <f>+E24</f>
        <v>-1566800</v>
      </c>
      <c r="G88" s="64">
        <f>+E88+F88</f>
        <v>10933200</v>
      </c>
      <c r="H88" s="115">
        <v>2E-3</v>
      </c>
      <c r="I88" s="116">
        <f>ROUND(G88*H88,0)+G88</f>
        <v>10955066</v>
      </c>
      <c r="J88" s="142"/>
      <c r="K88" s="72"/>
      <c r="L88" s="72"/>
      <c r="M88" s="72"/>
      <c r="N88" s="72"/>
      <c r="O88" s="74"/>
    </row>
    <row r="89" spans="2:17" x14ac:dyDescent="0.2">
      <c r="B89" s="73"/>
      <c r="C89" s="57"/>
      <c r="D89" s="57"/>
      <c r="E89" s="57"/>
      <c r="F89" s="72"/>
      <c r="G89" s="72"/>
      <c r="H89" s="57"/>
      <c r="I89" s="117">
        <f>SUM(I88:I88)</f>
        <v>10955066</v>
      </c>
      <c r="J89" s="72"/>
      <c r="K89" s="72"/>
      <c r="L89" s="72"/>
      <c r="M89" s="72"/>
      <c r="N89" s="72"/>
      <c r="O89" s="74"/>
    </row>
    <row r="90" spans="2:17" x14ac:dyDescent="0.2">
      <c r="B90" s="73"/>
      <c r="C90" s="57"/>
      <c r="D90" s="57"/>
      <c r="E90" s="57"/>
      <c r="F90" s="57"/>
      <c r="G90" s="292"/>
      <c r="H90" s="293"/>
      <c r="I90" s="294"/>
      <c r="J90" s="294"/>
      <c r="K90" s="294"/>
      <c r="L90" s="294"/>
      <c r="M90" s="294"/>
      <c r="N90" s="294"/>
      <c r="O90" s="295"/>
      <c r="P90" s="253"/>
      <c r="Q90" s="253"/>
    </row>
    <row r="91" spans="2:17" x14ac:dyDescent="0.2">
      <c r="B91" s="73"/>
      <c r="C91" s="72"/>
      <c r="D91" s="72"/>
      <c r="E91" s="72"/>
      <c r="F91" s="72"/>
      <c r="G91" s="232"/>
      <c r="H91" s="232"/>
      <c r="I91" s="232"/>
      <c r="J91" s="232"/>
      <c r="K91" s="232"/>
      <c r="L91" s="232"/>
      <c r="M91" s="232"/>
      <c r="N91" s="232"/>
      <c r="O91" s="233"/>
      <c r="P91" s="234"/>
      <c r="Q91" s="234"/>
    </row>
    <row r="92" spans="2:17" ht="15" customHeight="1" x14ac:dyDescent="0.2">
      <c r="B92" s="73"/>
      <c r="C92" s="58" t="s">
        <v>97</v>
      </c>
      <c r="D92" s="382" t="s">
        <v>98</v>
      </c>
      <c r="E92" s="383"/>
      <c r="F92" s="209"/>
      <c r="G92" s="235"/>
      <c r="H92" s="236" t="s">
        <v>158</v>
      </c>
      <c r="I92" s="235"/>
      <c r="J92" s="237">
        <f>+(+N15*2.9%)+N15</f>
        <v>2058000</v>
      </c>
      <c r="K92" s="237"/>
      <c r="L92" s="237"/>
      <c r="M92" s="232">
        <v>2017</v>
      </c>
      <c r="N92" s="232"/>
      <c r="O92" s="233">
        <v>2018</v>
      </c>
      <c r="P92" s="234"/>
      <c r="Q92" s="238"/>
    </row>
    <row r="93" spans="2:17" ht="15" customHeight="1" x14ac:dyDescent="0.2">
      <c r="B93" s="73"/>
      <c r="C93" s="94" t="s">
        <v>99</v>
      </c>
      <c r="D93" s="384">
        <f>+J101</f>
        <v>202744485</v>
      </c>
      <c r="E93" s="385"/>
      <c r="F93" s="170" t="s">
        <v>100</v>
      </c>
      <c r="G93" s="235"/>
      <c r="H93" s="239" t="s">
        <v>101</v>
      </c>
      <c r="I93" s="232"/>
      <c r="J93" s="237">
        <f>+'Desarrollo Ejercicio n°12 A'!K14</f>
        <v>200000000</v>
      </c>
      <c r="K93" s="237"/>
      <c r="L93" s="240">
        <v>2.9000000000000001E-2</v>
      </c>
      <c r="M93" s="237">
        <f>+J93*L93</f>
        <v>5800000</v>
      </c>
      <c r="N93" s="237">
        <f>+J93+M93</f>
        <v>205800000</v>
      </c>
      <c r="O93" s="241">
        <f>+N93*L93</f>
        <v>5968200</v>
      </c>
      <c r="P93" s="234"/>
      <c r="Q93" s="234"/>
    </row>
    <row r="94" spans="2:17" x14ac:dyDescent="0.2">
      <c r="B94" s="73"/>
      <c r="C94" s="370" t="s">
        <v>102</v>
      </c>
      <c r="D94" s="212"/>
      <c r="E94" s="213"/>
      <c r="F94" s="371" t="s">
        <v>100</v>
      </c>
      <c r="G94" s="235"/>
      <c r="H94" s="239" t="s">
        <v>103</v>
      </c>
      <c r="I94" s="232"/>
      <c r="J94" s="237">
        <f>+C82+C83+C84</f>
        <v>1850000</v>
      </c>
      <c r="K94" s="237"/>
      <c r="L94" s="237"/>
      <c r="M94" s="237"/>
      <c r="N94" s="237"/>
      <c r="O94" s="241">
        <f>+N93+O93</f>
        <v>211768200</v>
      </c>
      <c r="P94" s="234"/>
      <c r="Q94" s="238">
        <f>+J94</f>
        <v>1850000</v>
      </c>
    </row>
    <row r="95" spans="2:17" ht="15" customHeight="1" x14ac:dyDescent="0.2">
      <c r="B95" s="73"/>
      <c r="C95" s="370"/>
      <c r="D95" s="386">
        <f>+I88</f>
        <v>10955066</v>
      </c>
      <c r="E95" s="387"/>
      <c r="F95" s="371"/>
      <c r="G95" s="235"/>
      <c r="H95" s="239" t="s">
        <v>104</v>
      </c>
      <c r="I95" s="232"/>
      <c r="J95" s="237">
        <v>-12500000</v>
      </c>
      <c r="K95" s="237"/>
      <c r="L95" s="237"/>
      <c r="M95" s="237"/>
      <c r="N95" s="237"/>
      <c r="O95" s="233"/>
      <c r="P95" s="234"/>
      <c r="Q95" s="238"/>
    </row>
    <row r="96" spans="2:17" x14ac:dyDescent="0.2">
      <c r="B96" s="73"/>
      <c r="C96" s="370"/>
      <c r="D96" s="386"/>
      <c r="E96" s="387"/>
      <c r="F96" s="371"/>
      <c r="G96" s="235"/>
      <c r="H96" s="239" t="s">
        <v>105</v>
      </c>
      <c r="I96" s="232"/>
      <c r="J96" s="237">
        <f>+'Desarrollo Ejercicio n°12 A'!G22</f>
        <v>5726925</v>
      </c>
      <c r="K96" s="237"/>
      <c r="L96" s="237"/>
      <c r="M96" s="237"/>
      <c r="N96" s="237"/>
      <c r="O96" s="233"/>
      <c r="P96" s="234"/>
      <c r="Q96" s="238">
        <f>+J96</f>
        <v>5726925</v>
      </c>
    </row>
    <row r="97" spans="2:17" ht="15" customHeight="1" x14ac:dyDescent="0.2">
      <c r="B97" s="73"/>
      <c r="C97" s="161" t="s">
        <v>157</v>
      </c>
      <c r="D97" s="388">
        <f>-C84</f>
        <v>-350000</v>
      </c>
      <c r="E97" s="389"/>
      <c r="F97" s="191" t="s">
        <v>106</v>
      </c>
      <c r="G97" s="232"/>
      <c r="H97" s="239" t="s">
        <v>107</v>
      </c>
      <c r="I97" s="232"/>
      <c r="J97" s="237">
        <f>-'Planteamiento Ejercicio n°12'!G62</f>
        <v>5934560</v>
      </c>
      <c r="K97" s="237"/>
      <c r="L97" s="237"/>
      <c r="M97" s="232"/>
      <c r="N97" s="232"/>
      <c r="O97" s="233"/>
      <c r="P97" s="234"/>
      <c r="Q97" s="238">
        <f>+J97</f>
        <v>5934560</v>
      </c>
    </row>
    <row r="98" spans="2:17" ht="15" customHeight="1" x14ac:dyDescent="0.2">
      <c r="B98" s="73"/>
      <c r="C98" s="361" t="s">
        <v>108</v>
      </c>
      <c r="D98" s="390">
        <f>-O94</f>
        <v>-211768200</v>
      </c>
      <c r="E98" s="391"/>
      <c r="F98" s="363" t="s">
        <v>106</v>
      </c>
      <c r="G98" s="232"/>
      <c r="H98" s="239" t="s">
        <v>109</v>
      </c>
      <c r="I98" s="232"/>
      <c r="J98" s="242">
        <f>-'Desarrollo Ejercicio n°12 A'!F14</f>
        <v>-325000</v>
      </c>
      <c r="K98" s="242"/>
      <c r="L98" s="242"/>
      <c r="M98" s="232"/>
      <c r="N98" s="232"/>
      <c r="O98" s="233"/>
      <c r="P98" s="234"/>
      <c r="Q98" s="238">
        <f>+J98</f>
        <v>-325000</v>
      </c>
    </row>
    <row r="99" spans="2:17" x14ac:dyDescent="0.2">
      <c r="B99" s="73"/>
      <c r="C99" s="362"/>
      <c r="D99" s="392"/>
      <c r="E99" s="393"/>
      <c r="F99" s="364"/>
      <c r="G99" s="234"/>
      <c r="H99" s="234"/>
      <c r="I99" s="234"/>
      <c r="J99" s="242"/>
      <c r="K99" s="243"/>
      <c r="L99" s="243"/>
      <c r="M99" s="232"/>
      <c r="N99" s="232"/>
      <c r="O99" s="233"/>
      <c r="P99" s="234"/>
      <c r="Q99" s="238">
        <f>SUM(Q92:Q98)</f>
        <v>13186485</v>
      </c>
    </row>
    <row r="100" spans="2:17" ht="15" customHeight="1" x14ac:dyDescent="0.2">
      <c r="B100" s="73"/>
      <c r="C100" s="166" t="s">
        <v>112</v>
      </c>
      <c r="D100" s="380">
        <f>SUM(D93:E99)</f>
        <v>1581351</v>
      </c>
      <c r="E100" s="381"/>
      <c r="F100" s="192" t="s">
        <v>113</v>
      </c>
      <c r="G100" s="244"/>
      <c r="H100" s="245"/>
      <c r="I100" s="244"/>
      <c r="J100" s="245"/>
      <c r="K100" s="245"/>
      <c r="L100" s="245"/>
      <c r="M100" s="244"/>
      <c r="N100" s="244"/>
      <c r="O100" s="233"/>
      <c r="P100" s="234"/>
      <c r="Q100" s="246">
        <f>+Q99-D100</f>
        <v>11605134</v>
      </c>
    </row>
    <row r="101" spans="2:17" ht="13.5" thickBot="1" x14ac:dyDescent="0.25">
      <c r="B101" s="167"/>
      <c r="C101" s="118"/>
      <c r="D101" s="118"/>
      <c r="E101" s="118"/>
      <c r="F101" s="118"/>
      <c r="G101" s="247" t="s">
        <v>110</v>
      </c>
      <c r="H101" s="248" t="s">
        <v>111</v>
      </c>
      <c r="I101" s="249"/>
      <c r="J101" s="250">
        <f>SUM(J92:J99)</f>
        <v>202744485</v>
      </c>
      <c r="K101" s="250"/>
      <c r="L101" s="250"/>
      <c r="M101" s="251"/>
      <c r="N101" s="251"/>
      <c r="O101" s="252"/>
      <c r="P101" s="234"/>
      <c r="Q101" s="234"/>
    </row>
    <row r="102" spans="2:17" x14ac:dyDescent="0.2">
      <c r="C102" s="119"/>
      <c r="D102" s="119"/>
      <c r="E102" s="119"/>
      <c r="F102" s="119"/>
    </row>
  </sheetData>
  <mergeCells count="19">
    <mergeCell ref="D100:E100"/>
    <mergeCell ref="D92:E92"/>
    <mergeCell ref="D93:E93"/>
    <mergeCell ref="D95:E96"/>
    <mergeCell ref="D97:E97"/>
    <mergeCell ref="D98:E99"/>
    <mergeCell ref="C98:C99"/>
    <mergeCell ref="F98:F99"/>
    <mergeCell ref="M10:M13"/>
    <mergeCell ref="N10:N14"/>
    <mergeCell ref="C94:C96"/>
    <mergeCell ref="F94:F96"/>
    <mergeCell ref="C10:C11"/>
    <mergeCell ref="F10:F14"/>
    <mergeCell ref="G10:G14"/>
    <mergeCell ref="H10:H14"/>
    <mergeCell ref="I10:I14"/>
    <mergeCell ref="J10:L10"/>
    <mergeCell ref="J11:K11"/>
  </mergeCells>
  <printOptions horizontalCentered="1" verticalCentered="1"/>
  <pageMargins left="0.70866141732283472" right="0.70866141732283472" top="0.74803149606299213" bottom="0.74803149606299213" header="0.31496062992125984" footer="0.31496062992125984"/>
  <pageSetup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Planteamiento Ejercicio n°11</vt:lpstr>
      <vt:lpstr>Desarrollo Ejercicio n°11 A</vt:lpstr>
      <vt:lpstr>Desarrollo Ejercicio n°11 B y C</vt:lpstr>
      <vt:lpstr>Planteamiento Ejercicio n°12</vt:lpstr>
      <vt:lpstr>Desarrollo Ejercicio n°12 A</vt:lpstr>
      <vt:lpstr>Desarrollo Ejercicio n°12 B y C</vt:lpstr>
      <vt:lpstr>'Desarrollo Ejercicio n°11 A'!Área_de_impresión</vt:lpstr>
      <vt:lpstr>'Desarrollo Ejercicio n°11 B y C'!Área_de_impresión</vt:lpstr>
      <vt:lpstr>'Desarrollo Ejercicio n°12 A'!Área_de_impresión</vt:lpstr>
      <vt:lpstr>'Desarrollo Ejercicio n°12 B y C'!Área_de_impresión</vt:lpstr>
      <vt:lpstr>'Planteamiento Ejercicio n°11'!Área_de_impresión</vt:lpstr>
      <vt:lpstr>'Planteamiento Ejercicio n°12'!Área_de_impresión</vt:lpstr>
    </vt:vector>
  </TitlesOfParts>
  <Company>Ernst &amp; Young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Emilio E Martínez Peñailillo</dc:creator>
  <cp:lastModifiedBy>Claudia Valdés Muñoz</cp:lastModifiedBy>
  <cp:lastPrinted>2017-05-29T09:12:26Z</cp:lastPrinted>
  <dcterms:created xsi:type="dcterms:W3CDTF">2017-05-29T07:43:57Z</dcterms:created>
  <dcterms:modified xsi:type="dcterms:W3CDTF">2017-08-28T05:07:35Z</dcterms:modified>
</cp:coreProperties>
</file>