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56981\BBSC Spa Dropbox\Claudia Valdés\SEMINARIOS\SEMINARIO BBSC® MINERIA EN CHILE (octubre 2026)\"/>
    </mc:Choice>
  </mc:AlternateContent>
  <xr:revisionPtr revIDLastSave="0" documentId="11_7B7610F78D164287FAB4D214A0E037158623A08F" xr6:coauthVersionLast="47" xr6:coauthVersionMax="47" xr10:uidLastSave="{00000000-0000-0000-0000-000000000000}"/>
  <bookViews>
    <workbookView xWindow="-108" yWindow="-108" windowWidth="23256" windowHeight="12456" tabRatio="500" xr2:uid="{00000000-000D-0000-FFFF-FFFF00000000}"/>
  </bookViews>
  <sheets>
    <sheet name="Índice" sheetId="1" r:id="rId1"/>
    <sheet name="01_Despeje" sheetId="2" r:id="rId2"/>
    <sheet name="02_Umbral" sheetId="3" r:id="rId3"/>
    <sheet name="03_Tope" sheetId="4" r:id="rId4"/>
    <sheet name="04_GOPM" sheetId="5" r:id="rId5"/>
    <sheet name="05_Depreciacion" sheetId="6" r:id="rId6"/>
    <sheet name="06_Patentes" sheetId="7" r:id="rId7"/>
    <sheet name="07_Cierre" sheetId="8" r:id="rId8"/>
    <sheet name="08_Clasificador" sheetId="9" r:id="rId9"/>
    <sheet name="09_AdValorem_EEFF" sheetId="10" r:id="rId10"/>
    <sheet name="10_Invariabilidad" sheetId="11" r:id="rId11"/>
  </sheets>
  <definedNames>
    <definedName name="_xlnm.Print_Area" localSheetId="1">'01_Despeje'!$A$1:$J$33</definedName>
    <definedName name="_xlnm.Print_Area" localSheetId="2">'02_Umbral'!$A$1:$G$26</definedName>
    <definedName name="_xlnm.Print_Area" localSheetId="3">'03_Tope'!$A$1:$F$36</definedName>
    <definedName name="_xlnm.Print_Area" localSheetId="4">'04_GOPM'!$A$1:$G$22</definedName>
    <definedName name="_xlnm.Print_Area" localSheetId="5">'05_Depreciacion'!$A$1:$F$31</definedName>
    <definedName name="_xlnm.Print_Area" localSheetId="6">'06_Patentes'!$A$1:$G$24</definedName>
    <definedName name="_xlnm.Print_Area" localSheetId="7">'07_Cierre'!$A$1:$F$30</definedName>
    <definedName name="_xlnm.Print_Area" localSheetId="8">'08_Clasificador'!$A$1:$J$26</definedName>
    <definedName name="_xlnm.Print_Area" localSheetId="9">'09_AdValorem_EEFF'!$A$1:$F$34</definedName>
    <definedName name="_xlnm.Print_Area" localSheetId="10">'10_Invariabilidad'!$A$1:$G$32</definedName>
    <definedName name="_xlnm.Print_Area" localSheetId="0">Índice!$A$1:$F$22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28" i="11" l="1"/>
  <c r="E18" i="11"/>
  <c r="F18" i="11" s="1"/>
  <c r="D18" i="11"/>
  <c r="F17" i="11"/>
  <c r="E17" i="11"/>
  <c r="D17" i="11"/>
  <c r="E16" i="11"/>
  <c r="F16" i="11" s="1"/>
  <c r="D16" i="11"/>
  <c r="E15" i="11"/>
  <c r="D15" i="11"/>
  <c r="F15" i="11" s="1"/>
  <c r="C10" i="11"/>
  <c r="C11" i="11" s="1"/>
  <c r="C30" i="10"/>
  <c r="C25" i="10"/>
  <c r="D21" i="10"/>
  <c r="C21" i="10"/>
  <c r="D19" i="10"/>
  <c r="C19" i="10"/>
  <c r="D18" i="10"/>
  <c r="D22" i="10" s="1"/>
  <c r="C18" i="10"/>
  <c r="C22" i="10" s="1"/>
  <c r="C17" i="10"/>
  <c r="D16" i="10"/>
  <c r="C16" i="10"/>
  <c r="D15" i="10"/>
  <c r="C15" i="10"/>
  <c r="C21" i="9"/>
  <c r="C19" i="9"/>
  <c r="C18" i="9"/>
  <c r="C17" i="9"/>
  <c r="C20" i="9" s="1"/>
  <c r="C22" i="9" s="1"/>
  <c r="F14" i="9"/>
  <c r="E14" i="9"/>
  <c r="F13" i="9"/>
  <c r="E13" i="9"/>
  <c r="F12" i="9"/>
  <c r="E12" i="9"/>
  <c r="F11" i="9"/>
  <c r="E11" i="9"/>
  <c r="F10" i="9"/>
  <c r="E10" i="9"/>
  <c r="F9" i="9"/>
  <c r="E9" i="9"/>
  <c r="F8" i="9"/>
  <c r="E8" i="9"/>
  <c r="F7" i="9"/>
  <c r="E7" i="9"/>
  <c r="C25" i="8"/>
  <c r="C26" i="8" s="1"/>
  <c r="C13" i="8"/>
  <c r="C16" i="7"/>
  <c r="D15" i="7"/>
  <c r="E15" i="7" s="1"/>
  <c r="E14" i="7"/>
  <c r="D14" i="7"/>
  <c r="D13" i="7"/>
  <c r="E13" i="7" s="1"/>
  <c r="E12" i="7"/>
  <c r="C19" i="7" s="1"/>
  <c r="D12" i="7"/>
  <c r="D11" i="7"/>
  <c r="E11" i="7" s="1"/>
  <c r="C13" i="6"/>
  <c r="C19" i="6" s="1"/>
  <c r="C12" i="6"/>
  <c r="C14" i="6" s="1"/>
  <c r="G10" i="5"/>
  <c r="F10" i="5"/>
  <c r="E10" i="5"/>
  <c r="G9" i="5"/>
  <c r="F9" i="5"/>
  <c r="E9" i="5"/>
  <c r="F8" i="5"/>
  <c r="F11" i="5" s="1"/>
  <c r="C15" i="5" s="1"/>
  <c r="E8" i="5"/>
  <c r="G8" i="5" s="1"/>
  <c r="F7" i="5"/>
  <c r="E7" i="5"/>
  <c r="G7" i="5" s="1"/>
  <c r="C15" i="4"/>
  <c r="C16" i="4" s="1"/>
  <c r="E20" i="3"/>
  <c r="E14" i="3"/>
  <c r="E16" i="3" s="1"/>
  <c r="E12" i="3"/>
  <c r="E11" i="3"/>
  <c r="E10" i="3"/>
  <c r="E9" i="3"/>
  <c r="E8" i="3"/>
  <c r="E7" i="3"/>
  <c r="C14" i="2"/>
  <c r="C13" i="2"/>
  <c r="C22" i="2" s="1"/>
  <c r="C18" i="6" l="1"/>
  <c r="C20" i="6" s="1"/>
  <c r="C26" i="6" s="1"/>
  <c r="C15" i="6"/>
  <c r="C25" i="6"/>
  <c r="E16" i="7"/>
  <c r="C18" i="7" s="1"/>
  <c r="C20" i="7"/>
  <c r="E22" i="3"/>
  <c r="E21" i="3"/>
  <c r="G11" i="5"/>
  <c r="C16" i="5" s="1"/>
  <c r="C18" i="5" s="1"/>
  <c r="C23" i="11"/>
  <c r="C24" i="11" s="1"/>
  <c r="C22" i="11"/>
  <c r="C21" i="11"/>
  <c r="C23" i="2"/>
  <c r="C24" i="2" s="1"/>
  <c r="C25" i="2" s="1"/>
  <c r="C20" i="4"/>
  <c r="C29" i="4"/>
  <c r="C17" i="4"/>
  <c r="C18" i="4" s="1"/>
  <c r="C19" i="4" s="1"/>
  <c r="C27" i="10"/>
  <c r="E11" i="5"/>
  <c r="C14" i="5" s="1"/>
  <c r="C15" i="2"/>
  <c r="C20" i="10"/>
  <c r="C28" i="10" s="1"/>
  <c r="D20" i="10"/>
  <c r="C14" i="8"/>
  <c r="C16" i="8" s="1"/>
  <c r="C15" i="8"/>
  <c r="C19" i="8" l="1"/>
  <c r="C20" i="8" s="1"/>
  <c r="C21" i="4"/>
  <c r="C22" i="4" s="1"/>
  <c r="C16" i="2"/>
  <c r="C17" i="2" s="1"/>
  <c r="C18" i="2" s="1"/>
  <c r="C19" i="2" s="1"/>
  <c r="C27" i="6"/>
  <c r="C29" i="10"/>
  <c r="C26" i="10"/>
  <c r="C28" i="2" l="1"/>
  <c r="C29" i="2"/>
  <c r="C25" i="4"/>
  <c r="C26" i="4" s="1"/>
  <c r="C27" i="4" s="1"/>
  <c r="C32" i="4"/>
  <c r="C28" i="4" l="1"/>
  <c r="C31" i="4" l="1"/>
  <c r="C30" i="4"/>
</calcChain>
</file>

<file path=xl/sharedStrings.xml><?xml version="1.0" encoding="utf-8"?>
<sst xmlns="http://schemas.openxmlformats.org/spreadsheetml/2006/main" count="425" uniqueCount="321">
  <si>
    <t>BBSC®  |  Calculadoras del blog minero 2026</t>
  </si>
  <si>
    <t>Una hoja por cada nota de la serie «Diez notas sobre tributación y contabilidad minera». Las celdas en azul sobre fondo verde claro son modificables; el resto son fórmulas.</t>
  </si>
  <si>
    <t>Cómo usarlas</t>
  </si>
  <si>
    <t>Descarga</t>
  </si>
  <si>
    <t>El mismo archivo puede enlazarse desde las diez notas: cada lectora llega por una hoja y descubre las otras nueve.</t>
  </si>
  <si>
    <t>Cifras</t>
  </si>
  <si>
    <t>Los valores precargados replican el ejercicio simulado del seminario BBSC® 2026 (Compañía Minera Valle del Cobre SpA, ficticia, en kUSD).</t>
  </si>
  <si>
    <t>Alcance</t>
  </si>
  <si>
    <t>Son herramientas de apoyo docente. No reemplazan la determinación formal del impuesto ni una asesoría particular.</t>
  </si>
  <si>
    <t>Hojas de cálculo</t>
  </si>
  <si>
    <t>Nota 1</t>
  </si>
  <si>
    <t>El Royalty ya no se despeja — Compara el Royalty Minero (sin despeje) con el ex IEAM (con despeje) sobre los mismos datos</t>
  </si>
  <si>
    <t>Nota 2</t>
  </si>
  <si>
    <t>Promedio de seis ejercicios — Determina el régimen aplicable con el promedio de ventas en TMCF y los relacionados</t>
  </si>
  <si>
    <t>Nota 3</t>
  </si>
  <si>
    <t>Límite de carga tributaria máxima potencial — Verifica si la carga total supera el 46,5% de la RIOMA y calcula el ajuste</t>
  </si>
  <si>
    <t>Nota 4</t>
  </si>
  <si>
    <t>GOPM: tres años para la RLI, seis para la RIOMA — Calcula la diferencia de amortización que se agrega a la RIOMA</t>
  </si>
  <si>
    <t>Nota 5</t>
  </si>
  <si>
    <t>Depreciación acelerada neutralizada — Mide el efecto de la aceleración en la RLI y su neutralización en la RIOMA</t>
  </si>
  <si>
    <t>Nota 6</t>
  </si>
  <si>
    <t>Patentes mineras — Calcula la patente anual por tipo de concesión y su tratamiento tributario</t>
  </si>
  <si>
    <t>Nota 7</t>
  </si>
  <si>
    <t>Provisión por cierre de faenas — Determina la cuota deducible del último tercio y el agregado en la RIOMA</t>
  </si>
  <si>
    <t>Nota 8</t>
  </si>
  <si>
    <t>Clasificador de desembolsos mineros — Asigna el tratamiento tributario y NIIF según la etapa del proceso</t>
  </si>
  <si>
    <t>Nota 9</t>
  </si>
  <si>
    <t>El ad valorem en los estados financieros — Compara las dos políticas contables y su efecto en el EBITDA</t>
  </si>
  <si>
    <t>Nota 10</t>
  </si>
  <si>
    <t>Invariabilidad tributaria — Calcula el costo de los 1,5 puntos de recargo y su valor presente</t>
  </si>
  <si>
    <t>Claudia Valdés Muñoz, gerente general BBSC®, servicios contables &amp; tributarios de excelencia, cvaldes@bbsc.cl, www.bbsc.cl, +56 9 8139 3599</t>
  </si>
  <si>
    <t>BBSC® · Nota 1 · El Royalty ya no se despeja</t>
  </si>
  <si>
    <t>Compara el Royalty Minero (sin despeje) con el ex IEAM (con despeje) sobre los mismos datos · Ley N° 21.591 art. 6 N° 1</t>
  </si>
  <si>
    <t>◄ Volver al índice</t>
  </si>
  <si>
    <t>Tramos del ex IEAM (art. 64 bis, Ley N° 20.469)</t>
  </si>
  <si>
    <t>Datos de entrada</t>
  </si>
  <si>
    <t>MOM desde</t>
  </si>
  <si>
    <t>MOM hasta</t>
  </si>
  <si>
    <t>Tasa marginal</t>
  </si>
  <si>
    <t>Ventas netas de cobre del ejercicio (después de TC/RC)</t>
  </si>
  <si>
    <t>kUSD</t>
  </si>
  <si>
    <t>Base del ad valorem: solo se deducen cargos de tratamiento y refinación (art. 2)</t>
  </si>
  <si>
    <t>Ingresos operacionales mineros (IOM)</t>
  </si>
  <si>
    <t>Ventas de cobre más subproductos (art. 1 N° 3)</t>
  </si>
  <si>
    <t>RLI antes de Royalty (RLI₀)</t>
  </si>
  <si>
    <t>Arts. 29 a 33 LIR, antes de deducir el impuesto minero</t>
  </si>
  <si>
    <t>Ajustes del art. 6 N° 2 a N° 5 (netos)</t>
  </si>
  <si>
    <t>Suma algebraica de los ajustes, sin el ad valorem ni el componente sobre la rentabilidad</t>
  </si>
  <si>
    <t>Tasa del ad valorem</t>
  </si>
  <si>
    <t>1% (art. 2)</t>
  </si>
  <si>
    <t>A. Royalty Minero: sin despeje (Ley N° 21.591)</t>
  </si>
  <si>
    <t>RIOMA antes de ad valorem (RIOMA₀)</t>
  </si>
  <si>
    <t>Componente ad valorem</t>
  </si>
  <si>
    <t>RIOMA</t>
  </si>
  <si>
    <t>MOM</t>
  </si>
  <si>
    <t>RIOMA ÷ IOM × 100, con un decimal</t>
  </si>
  <si>
    <t>Tasa del art. 3 según el MOM</t>
  </si>
  <si>
    <t>Componente sobre la rentabilidad</t>
  </si>
  <si>
    <t>ROYALTY MINERO</t>
  </si>
  <si>
    <t>B. Ex IEAM sobre los mismos datos: con despeje (Ley N° 20.469)</t>
  </si>
  <si>
    <t>RIOM (equivale a la RIOMA antes de ad valorem)</t>
  </si>
  <si>
    <t>Tasa efectiva por tramos marginales</t>
  </si>
  <si>
    <t>Escala del ex art. 64 bis: 5% a 34,5%</t>
  </si>
  <si>
    <t>Impuesto con despeje: RIOM × t ÷ (1 + t)</t>
  </si>
  <si>
    <t>C. Diferencia</t>
  </si>
  <si>
    <t>Mayor impuesto minero con el Royalty</t>
  </si>
  <si>
    <t>Variación porcentual</t>
  </si>
  <si>
    <t>Lectura: la diferencia se explica por tres factores. El nuevo componente ad valorem de 1% sobre las ventas de cobre; la tasa mínima de 8% del art. 3 frente al 5% del primer tramo del ex IEAM; y el fin del despeje, porque el art. 6 N° 1 de la Ley N° 21.591 obliga a agregar el propio componente sobre la rentabilidad a la base, de modo que la RIOMA se mide antes de ese componente y solo el ad valorem la rebaja.</t>
  </si>
  <si>
    <t>BBSC® · Nota 2 · Promedio de seis ejercicios</t>
  </si>
  <si>
    <t>Determina el régimen aplicable con el promedio de ventas en TMCF y los relacionados · art. 5 Ley N° 21.591</t>
  </si>
  <si>
    <t>Ventas de productos mineros de los últimos seis ejercicios</t>
  </si>
  <si>
    <t>Ejercicio</t>
  </si>
  <si>
    <t>Ventas mineras (kUSD)</t>
  </si>
  <si>
    <t>Precio cobre grado A (US$/lb)</t>
  </si>
  <si>
    <t>Ventas en TMCF</t>
  </si>
  <si>
    <t>2020</t>
  </si>
  <si>
    <t>2021</t>
  </si>
  <si>
    <t>2022</t>
  </si>
  <si>
    <t>2023</t>
  </si>
  <si>
    <t>2024</t>
  </si>
  <si>
    <t>2025</t>
  </si>
  <si>
    <t>Promedio propio de los ejercicios con ventas</t>
  </si>
  <si>
    <t>TMCF</t>
  </si>
  <si>
    <t>(+) Promedio de explotadores mineros relacionados</t>
  </si>
  <si>
    <t>Solo para el umbral: no integran la base ni el MOM (art. 8 N° 17 Código Tributario)</t>
  </si>
  <si>
    <t>Promedio para determinar el régimen</t>
  </si>
  <si>
    <t>Determinación del régimen</t>
  </si>
  <si>
    <t>Ventas de cobre del último ejercicio</t>
  </si>
  <si>
    <t>Participación del cobre en las ventas mineras</t>
  </si>
  <si>
    <t>Régimen aplicable</t>
  </si>
  <si>
    <t>Límite de carga aplicable</t>
  </si>
  <si>
    <t>Lectura: el tamaño se mide con el promedio de los últimos seis ejercicios y no con las ventas del año. Las ventas en moneda extranjera se convierten al dólar observado del último día hábil de diciembre y se expresan en toneladas métricas de cobre fino con el precio del cobre grado A que publica Cochilco. Modifique un solo año en la columna azul y observe cuánto se mueve el promedio: esa es, precisamente, la estabilidad que buscó el legislador.</t>
  </si>
  <si>
    <t>BBSC® · Nota 3 · Límite de carga tributaria máxima potencial</t>
  </si>
  <si>
    <t>Verifica si la carga total supera el 46,5% de la RIOMA y calcula el ajuste · art. 8 Ley N° 21.591</t>
  </si>
  <si>
    <t>Ventas netas de cobre</t>
  </si>
  <si>
    <t>Límite aplicable (46,5% o 45,5%)</t>
  </si>
  <si>
    <t>45,5% si el promedio de ventas no supera 80.000 TMCF (art. 8)</t>
  </si>
  <si>
    <t>Carga de impuestos finales teóricos sobre la RLI</t>
  </si>
  <si>
    <t>IDPC más finales equivalen siempre a 35% (art. 8 letra b)</t>
  </si>
  <si>
    <t>Tasa de IDPC del ejercicio</t>
  </si>
  <si>
    <t>No altera el cálculo del tope, solo el impuesto efectivo</t>
  </si>
  <si>
    <t>Determinación del Royalty y de la carga</t>
  </si>
  <si>
    <t>Componente ad valorem: menor entre 1% de las ventas y el ajuste del art. 2 inc. 2°</t>
  </si>
  <si>
    <t>Tasa del art. 3</t>
  </si>
  <si>
    <t>Componente inicial sobre la rentabilidad</t>
  </si>
  <si>
    <t>Alternativa del límite: [L × RIOMA − AV − 35% × (RLI₀ − AV)] ÷ 0,65</t>
  </si>
  <si>
    <t>Despeje del art. 8 explicado en la nota 3</t>
  </si>
  <si>
    <t>Componente definitivo (el menor, nunca negativo)</t>
  </si>
  <si>
    <t>Verificación del límite</t>
  </si>
  <si>
    <t>RLI definitiva</t>
  </si>
  <si>
    <t>Impuesto de Primera Categoría</t>
  </si>
  <si>
    <t>Impuestos finales teóricos</t>
  </si>
  <si>
    <t>Carga tributaria potencial</t>
  </si>
  <si>
    <t>Límite: L × RIOMA</t>
  </si>
  <si>
    <t>Holgura</t>
  </si>
  <si>
    <t>Carga potencial ÷ RIOMA</t>
  </si>
  <si>
    <t>¿Operó el ajuste por el tope?</t>
  </si>
  <si>
    <t>Lectura: el tope se mide con un 35% de la RLI por concepto de IDPC e impuestos finales teóricos, cualquiera sea la tasa vigente del impuesto corporativo. Por eso la rebaja del IDPC de la Ley de Reconstrucción Nacional no amplía la holgura. Para simular escenarios de precio, multiplique las ventas de cobre y el IOM por el factor de variación del precio y observe en qué punto la carga alcanza el límite.</t>
  </si>
  <si>
    <t>BBSC® · Nota 4 · GOPM: tres años para la RLI, seis para la RIOMA</t>
  </si>
  <si>
    <t>Calcula la diferencia de amortización que se agrega a la RIOMA · art. 31 N° 9 LIR y art. 6 N° 4 letra d)</t>
  </si>
  <si>
    <t>Gastos de organización y puesta en marcha activados</t>
  </si>
  <si>
    <t>Año de activación</t>
  </si>
  <si>
    <t>Monto activado (kUSD)</t>
  </si>
  <si>
    <t>Plazo elegido para la RLI (años)</t>
  </si>
  <si>
    <t>Cuota RLI</t>
  </si>
  <si>
    <t>Cuota RIOMA (6 años)</t>
  </si>
  <si>
    <t>Diferencia del ejercicio</t>
  </si>
  <si>
    <t>Totales del ejercicio</t>
  </si>
  <si>
    <t>Efecto en las dos bases</t>
  </si>
  <si>
    <t>Amortización deducida en la RLI</t>
  </si>
  <si>
    <t>Amortización reconocida en la RIOMA (seis cuotas iguales)</t>
  </si>
  <si>
    <t>Agregado a la RIOMA (art. 6 N° 4 letra d)</t>
  </si>
  <si>
    <t>Tasa estimada del componente sobre la rentabilidad</t>
  </si>
  <si>
    <t>Tasa del art. 3 según el MOM proyectado</t>
  </si>
  <si>
    <t>Mayor Royalty del ejercicio por este ajuste</t>
  </si>
  <si>
    <t>Lectura: la diferencia es temporaria. Lo que hoy se agrega se convertirá en deducción de la RIOMA en los ejercicios cuarto a sexto, cuando la RLI ya no tenga cuota que deducir. Exige llevar dos calendarios de amortización, uno por base, y reconocer el impuesto diferido correspondiente tanto al IDPC como al componente del Royalty que se calcula sobre la RIOMA.</t>
  </si>
  <si>
    <t>BBSC® · Nota 5 · Depreciación acelerada neutralizada</t>
  </si>
  <si>
    <t>Mide el efecto de la aceleración en la RLI y su neutralización en la RIOMA · art. 6 N° 4 letra c) y N° 5</t>
  </si>
  <si>
    <t>Activo fijo del ejercicio</t>
  </si>
  <si>
    <t>Valor neto del activo fijo depreciable</t>
  </si>
  <si>
    <t>Vida útil normal promedio (Res. Ex. N° 43 de 2002)</t>
  </si>
  <si>
    <t>años</t>
  </si>
  <si>
    <t>¿Aplica depreciación acelerada? (1 = sí, 0 = no)</t>
  </si>
  <si>
    <t>Art. 31 N° 5: vida útil reducida a un tercio</t>
  </si>
  <si>
    <t>Depreciación financiera del ejercicio (NIIF)</t>
  </si>
  <si>
    <t>Puede diferir de ambas bases tributarias</t>
  </si>
  <si>
    <t>Depreciación tributaria</t>
  </si>
  <si>
    <t>Vida útil acelerada</t>
  </si>
  <si>
    <t>Depreciación normal</t>
  </si>
  <si>
    <t>Depreciación acelerada</t>
  </si>
  <si>
    <t>Deducción efectiva en la RLI</t>
  </si>
  <si>
    <t>Efecto en la RIOMA</t>
  </si>
  <si>
    <t>(+) Agregado de la depreciación acelerada (art. 6 N° 4 letra c)</t>
  </si>
  <si>
    <t>(−) Deducción de la depreciación normal (art. 6 N° 5)</t>
  </si>
  <si>
    <t>Ajuste neto en la RIOMA</t>
  </si>
  <si>
    <t>Cuantificación del efecto</t>
  </si>
  <si>
    <t>Tasa del componente sobre la rentabilidad</t>
  </si>
  <si>
    <t>Ahorro de IDPC por acelerar (diferimiento)</t>
  </si>
  <si>
    <t>Mayor Royalty por el ajuste de la RIOMA</t>
  </si>
  <si>
    <t>Efecto neto del ejercicio</t>
  </si>
  <si>
    <t>Positivo: acelerar sigue conviniendo frente al IDPC; el Royalty no reconoce el beneficio</t>
  </si>
  <si>
    <t>Lectura: la base del Royalty se calcula siempre con vidas útiles normales, cualquiera sea la política adoptada para el impuesto corporativo. El beneficio de acelerar debe medirse solo contra el IDPC, y ese beneficio se estrecha a medida que la tasa corporativa baja hacia el 23%. Recuerde además que los repuestos permanecen en el activo y se deducen al utilizarse, salvo que mejoren o amplíen el bien (Oficios N° 2.767 de 1989 y N° 2.942 de 1991).</t>
  </si>
  <si>
    <t>BBSC® · Nota 6 · Patentes mineras</t>
  </si>
  <si>
    <t>Calcula la patente anual por tipo de concesión y su tratamiento tributario · Ley N° 21.420 y arts. 163 y 164 Código de Minería</t>
  </si>
  <si>
    <t>Parámetros</t>
  </si>
  <si>
    <t>Valor de la UTM</t>
  </si>
  <si>
    <t>$</t>
  </si>
  <si>
    <t>Actualice al mes de pago</t>
  </si>
  <si>
    <t>Tipo de cambio para expresar en dólares</t>
  </si>
  <si>
    <t>$/US$</t>
  </si>
  <si>
    <t>Catastro de concesiones</t>
  </si>
  <si>
    <t>Tipo de concesión</t>
  </si>
  <si>
    <t>Hectáreas</t>
  </si>
  <si>
    <t>UTM por hectárea</t>
  </si>
  <si>
    <t>Patente anual ($)</t>
  </si>
  <si>
    <t>Tratamiento tributario</t>
  </si>
  <si>
    <t>Exploración</t>
  </si>
  <si>
    <t>Antes de la explotación: GOPM si se paga dentro de los 5 años previos (Circular N° 58 de 2001)</t>
  </si>
  <si>
    <t>Explotación con actividad minera (art. 142 bis)</t>
  </si>
  <si>
    <t>Desde el inicio de la explotación: PPM voluntario (art. 164 Código de Minería)</t>
  </si>
  <si>
    <t>Explotación sin actividad, 1 a 5 años</t>
  </si>
  <si>
    <t>Patente progresiva según años de vigencia; proyecto Boletín N° 18.259-08 propone eliminarla</t>
  </si>
  <si>
    <t>Explotación sin actividad, 6 a 10 años</t>
  </si>
  <si>
    <t>Patente progresiva; revisar si corresponde acreditar actividad del art. 142 bis</t>
  </si>
  <si>
    <t>Explotación sin actividad, más de 10 años</t>
  </si>
  <si>
    <t>Tramo más alto de la escala progresiva</t>
  </si>
  <si>
    <t>Total patentes del año</t>
  </si>
  <si>
    <t>Total en dólares</t>
  </si>
  <si>
    <t>US$</t>
  </si>
  <si>
    <t>Patentes imputables como PPM (concesiones en explotación)</t>
  </si>
  <si>
    <t>Se imputan contra el impuesto anual en el Formulario 22 (art. 164)</t>
  </si>
  <si>
    <t>Patentes tratadas como GOPM (concesiones en exploración)</t>
  </si>
  <si>
    <t>Lectura: el tratamiento tributario no cambió con la Ley N° 21.420; cambiaron los montos. Las patentes no son gasto (art. 163 del Código de Minería): antes de la explotación se tratan como gastos de organización y puesta en marcha y, desde que comienza la explotación, se imputan como pagos provisionales voluntarios. Revise el catastro antes de marzo: la clasificación de cada hectárea determina cuánto paga y cómo lo registra.</t>
  </si>
  <si>
    <t>BBSC® · Nota 7 · Provisión por cierre de faenas</t>
  </si>
  <si>
    <t>Determina la cuota deducible del último tercio y el agregado en la RIOMA · Ley N° 20.551 y art. 6° transitorio</t>
  </si>
  <si>
    <t>Datos del plan de cierre</t>
  </si>
  <si>
    <t>Vida útil total estimada de la faena</t>
  </si>
  <si>
    <t>Año en curso dentro de la vida útil</t>
  </si>
  <si>
    <t>año n</t>
  </si>
  <si>
    <t>Monto de la garantía del plan de cierre</t>
  </si>
  <si>
    <t>Ley N° 20.551</t>
  </si>
  <si>
    <t>Gastos de cierre efectivamente ejecutados en el ejercicio</t>
  </si>
  <si>
    <t>¿Tiene invariabilidad anterior a la Ley N° 20.551? (1 = sí, 0 = no)</t>
  </si>
  <si>
    <t>Circular N° 3 de 2024, apdo. 10</t>
  </si>
  <si>
    <t>Deducción en la RLI</t>
  </si>
  <si>
    <t>Primer año del último tercio</t>
  </si>
  <si>
    <t>Años que comprende el último tercio</t>
  </si>
  <si>
    <t>¿La faena está en su último tercio?</t>
  </si>
  <si>
    <t>Cuota anual deducible en la RLI</t>
  </si>
  <si>
    <t>Agregado en la RIOMA (art. 6° transitorio Ley N° 21.591)</t>
  </si>
  <si>
    <t>Salvo invariabilidad anterior a la Ley N° 20.551, la deducción no se reconoce en la base del Royalty</t>
  </si>
  <si>
    <t>Diferencia entre ambas bases del ejercicio</t>
  </si>
  <si>
    <t>Contraste con la norma contable</t>
  </si>
  <si>
    <t>¿Ya nació la obligación según la NIC 37? (1 = sí, 0 = no)</t>
  </si>
  <si>
    <t>La provisión contable se reconoce a valor presente desde el inicio</t>
  </si>
  <si>
    <t>Tasa de descuento</t>
  </si>
  <si>
    <t>Años que restan hasta el cierre</t>
  </si>
  <si>
    <t>Valor presente de la obligación</t>
  </si>
  <si>
    <t>Lectura: tres calendarios distintos para un mismo compromiso ambiental. La NIC 37 reconoce la provisión a valor presente desde que nace la obligación; la LIR permite deducirla en el último tercio de la vida útil; y la base del Royalty no la reconoce en absoluto, salvo invariabilidad anterior a la Ley N° 20.551. Conviene conciliarlos en un solo papel de trabajo.</t>
  </si>
  <si>
    <t>BBSC® · Nota 8 · Clasificador de desembolsos mineros</t>
  </si>
  <si>
    <t>Asigna el tratamiento tributario y NIIF según la etapa del proceso · Oficio N° 1.559 de 1991</t>
  </si>
  <si>
    <t>Tabla de referencia (Oficio N° 1.559 de 1991 y jurisprudencia administrativa)</t>
  </si>
  <si>
    <t>Clasifique cada desembolso del ejercicio</t>
  </si>
  <si>
    <t>Etapa</t>
  </si>
  <si>
    <t>Tratamiento NIIF de referencia</t>
  </si>
  <si>
    <t>Desembolso</t>
  </si>
  <si>
    <t>Etapa del proceso</t>
  </si>
  <si>
    <t>Monto (kUSD)</t>
  </si>
  <si>
    <t>Reconocimiento</t>
  </si>
  <si>
    <t>GOPM (art. 31 N° 9 LIR)</t>
  </si>
  <si>
    <t>NIIF 6: activo o gasto según política contable</t>
  </si>
  <si>
    <t>Campaña de sondajes de exploración</t>
  </si>
  <si>
    <t>Desarrollo</t>
  </si>
  <si>
    <t>Activo fijo (art. 31 N° 5 LIR)</t>
  </si>
  <si>
    <t>NIC 16: activo de desarrollo, depreciado por unidades de producción</t>
  </si>
  <si>
    <t>Construcción de pique y túnel principal</t>
  </si>
  <si>
    <t>Preparación</t>
  </si>
  <si>
    <t>Costo del mineral (art. 30 LIR)</t>
  </si>
  <si>
    <t>Parte del costo de producción del período</t>
  </si>
  <si>
    <t>Galerías y chimeneas del sector norte</t>
  </si>
  <si>
    <t>Explotación</t>
  </si>
  <si>
    <t>Costo de producción del período</t>
  </si>
  <si>
    <t>Perforación, tronadura y carguío</t>
  </si>
  <si>
    <t>Pre-stripping</t>
  </si>
  <si>
    <t>Parte del costo de desarrollo de la mina</t>
  </si>
  <si>
    <t>Remoción de estéril antes de explotar</t>
  </si>
  <si>
    <t>Stripping en producción</t>
  </si>
  <si>
    <t>CINIIF 20: activo de desbroce si mejora el acceso a mineral futuro</t>
  </si>
  <si>
    <t>Remoción de estéril durante la explotación</t>
  </si>
  <si>
    <t>Camino de infraestructura definitiva</t>
  </si>
  <si>
    <t>NIC 16: activo de infraestructura</t>
  </si>
  <si>
    <t>Camino permanente a la planta</t>
  </si>
  <si>
    <t>Residual previo a la producción</t>
  </si>
  <si>
    <t>Según la naturaleza del desembolso (Oficios N° 297/1982 y N° 1.377/2005)</t>
  </si>
  <si>
    <t>Estudios previos sin destino definido</t>
  </si>
  <si>
    <t>Resumen por tratamiento tributario</t>
  </si>
  <si>
    <t>Total clasificado</t>
  </si>
  <si>
    <t>Control: suma de los desembolsos</t>
  </si>
  <si>
    <t>Diferencia (debe ser cero)</t>
  </si>
  <si>
    <t>Lectura: la etapa define el tratamiento, aunque el equipo, el estéril y la semana sean los mismos. Clasifique en el momento del desembolso y no en el cierre: cada diferencia con la norma contable genera impuestos diferidos por partida doble, para el IDPC y para el componente del Royalty que se calcula sobre la RIOMA.</t>
  </si>
  <si>
    <t>BBSC® · Nota 9 · El ad valorem en los estados financieros</t>
  </si>
  <si>
    <t>Compara las dos políticas contables y su efecto en el EBITDA · NIC 12, NIC 8 y NIIF 18</t>
  </si>
  <si>
    <t>Datos del ejercicio</t>
  </si>
  <si>
    <t>Ingresos operacionales mineros</t>
  </si>
  <si>
    <t>Costos y gastos operacionales (sin impuestos mineros)</t>
  </si>
  <si>
    <t>Depreciación y amortización incluidas en el costo</t>
  </si>
  <si>
    <t>Dos políticas contables posibles</t>
  </si>
  <si>
    <t>Partida</t>
  </si>
  <si>
    <t>A · Ad valorem como costo operacional</t>
  </si>
  <si>
    <t>B · Ambos componentes como impuesto</t>
  </si>
  <si>
    <t>Ingresos operacionales</t>
  </si>
  <si>
    <t>(−) Costos y gastos operacionales</t>
  </si>
  <si>
    <t>(−) Componente ad valorem</t>
  </si>
  <si>
    <t>Resultado operacional</t>
  </si>
  <si>
    <t>(+) Depreciación y amortización</t>
  </si>
  <si>
    <t>EBITDA</t>
  </si>
  <si>
    <t>(−) Gasto por impuesto a las ganancias</t>
  </si>
  <si>
    <t>Utilidad neta</t>
  </si>
  <si>
    <t>Efecto de la decisión</t>
  </si>
  <si>
    <t>Diferencia en el resultado operacional</t>
  </si>
  <si>
    <t>Diferencia en el EBITDA</t>
  </si>
  <si>
    <t>Diferencia en la utilidad neta</t>
  </si>
  <si>
    <t>Debe ser cero: la política cambia la presentación, no el resultado</t>
  </si>
  <si>
    <t>Margen EBITDA · política A</t>
  </si>
  <si>
    <t>Margen EBITDA · política B</t>
  </si>
  <si>
    <t>Royalty total sobre ventas mineras</t>
  </si>
  <si>
    <t>Lectura: el componente sobre la rentabilidad se calcula sobre una medida de renta y queda dentro de la NIC 12, con impuestos diferidos a la tasa que corresponda al MOM proyectado. El ad valorem grava ventas y en principio es costo operacional, pero se reduce si la RIOMA es negativa y puede ajustarse por el tope del art. 8: su clasificación exige juicio profesional y política documentada (NIC 8). Con la NIIF 18, en 2027, habrá que ubicarlo de forma explícita y revelar las medidas de desempeño definidas por la gerencia.</t>
  </si>
  <si>
    <t>BBSC® · Nota 10 · Invariabilidad tributaria</t>
  </si>
  <si>
    <t>Calcula el costo de los 1,5 puntos de recargo y su valor presente · Ley de Reconstrucción Nacional</t>
  </si>
  <si>
    <t>Datos del proyecto</t>
  </si>
  <si>
    <t>Monto de la inversión</t>
  </si>
  <si>
    <t>MMUS$</t>
  </si>
  <si>
    <t>Determina el plazo de invariabilidad</t>
  </si>
  <si>
    <t>RLI anual proyectada</t>
  </si>
  <si>
    <t>Se asume constante para aislar el efecto de la tasa</t>
  </si>
  <si>
    <t>Recargo de invariabilidad</t>
  </si>
  <si>
    <t>1,5 puntos sobre la tasa de IDPC de las rentas protegidas</t>
  </si>
  <si>
    <t>Tasa de descuento para el valor presente</t>
  </si>
  <si>
    <t>Plazo de invariabilidad</t>
  </si>
  <si>
    <t>10 años desde US$ 50 millones; 15 desde US$ 100 millones; 20 desde US$ 350 millones</t>
  </si>
  <si>
    <t>Trayectoria del Impuesto de Primera Categoría</t>
  </si>
  <si>
    <t>Año comercial</t>
  </si>
  <si>
    <t>Tasa general</t>
  </si>
  <si>
    <t>IDPC sin invariabilidad</t>
  </si>
  <si>
    <t>IDPC con invariabilidad</t>
  </si>
  <si>
    <t>Mayor pago</t>
  </si>
  <si>
    <t>2026</t>
  </si>
  <si>
    <t>2027</t>
  </si>
  <si>
    <t>2028</t>
  </si>
  <si>
    <t>2029 y siguientes</t>
  </si>
  <si>
    <t>Costo de la estabilidad</t>
  </si>
  <si>
    <t>Mayor pago anual en régimen (desde 2029)</t>
  </si>
  <si>
    <t>Costo total nominal durante el plazo</t>
  </si>
  <si>
    <t>Valor presente del costo</t>
  </si>
  <si>
    <t>Anualidad vencida por el plazo de invariabilidad</t>
  </si>
  <si>
    <t>Costo del valor presente sobre la RLI anual</t>
  </si>
  <si>
    <t>Control frente al tope del Royalty</t>
  </si>
  <si>
    <t>Carga de impuestos finales teóricos del art. 8</t>
  </si>
  <si>
    <t>No cambia con la tasa de IDPC</t>
  </si>
  <si>
    <t>¿La rebaja del IDPC amplía la holgura del tope?</t>
  </si>
  <si>
    <t>Lectura: la decisión es un ejercicio de valor presente. El costo es cierto y anual; el beneficio es la eliminación del riesgo regulatorio durante una o dos décadas, en una industria cuyos proyectos tardan años en madurar. A ello se suman las exigencias del régimen: origen lícito de los fondos, capacidad financiera, auditoría externa, estados financieros a la CMF, contabilidad separada y endeudamiento máximo de 3 a 1 sobre el capital propio. El texto definitivo depende de lo que se publique en el Diario Oficial.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</si>
</sst>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
    <numFmt numFmtId="165" formatCode="#,##0;\(#,##0\);\-"/>
    <numFmt numFmtId="166" formatCode="0.00%;\(0.00%\);\-"/>
    <numFmt numFmtId="167" formatCode="0.0"/>
    <numFmt numFmtId="168" formatCode="0.0%"/>
    <numFmt numFmtId="169" formatCode="0.000"/>
  </numFmts>
  <fonts count="20" x14ac:knownFonts="1">
    <font>
      <sz val="11"/>
      <color theme="1"/>
      <name val="Calibri"/>
      <family val="2"/>
      <charset val="1"/>
    </font>
    <font>
      <b/>
      <sz val="16"/>
      <color rgb="FF881341"/>
      <name val="Century Gothic"/>
      <charset val="1"/>
    </font>
    <font>
      <i/>
      <sz val="10"/>
      <color rgb="FF535353"/>
      <name val="Century Gothic"/>
      <charset val="1"/>
    </font>
    <font>
      <b/>
      <sz val="12"/>
      <color rgb="FF881341"/>
      <name val="Century Gothic"/>
      <charset val="1"/>
    </font>
    <font>
      <b/>
      <sz val="10"/>
      <color rgb="FF535353"/>
      <name val="Century Gothic"/>
      <charset val="1"/>
    </font>
    <font>
      <sz val="10"/>
      <color rgb="FF535353"/>
      <name val="Century Gothic"/>
      <charset val="1"/>
    </font>
    <font>
      <b/>
      <u/>
      <sz val="10"/>
      <color rgb="FF881341"/>
      <name val="Century Gothic"/>
      <charset val="1"/>
    </font>
    <font>
      <i/>
      <sz val="8"/>
      <color rgb="FF9A9A9A"/>
      <name val="Century Gothic"/>
      <charset val="1"/>
    </font>
    <font>
      <b/>
      <sz val="15"/>
      <color rgb="FF881341"/>
      <name val="Century Gothic"/>
      <charset val="1"/>
    </font>
    <font>
      <i/>
      <sz val="9"/>
      <color rgb="FF535353"/>
      <name val="Century Gothic"/>
      <charset val="1"/>
    </font>
    <font>
      <b/>
      <u/>
      <sz val="9"/>
      <color rgb="FFABC46D"/>
      <name val="Century Gothic"/>
      <charset val="1"/>
    </font>
    <font>
      <b/>
      <sz val="9"/>
      <color rgb="FF881341"/>
      <name val="Century Gothic"/>
      <charset val="1"/>
    </font>
    <font>
      <b/>
      <sz val="11"/>
      <color rgb="FF881341"/>
      <name val="Century Gothic"/>
      <charset val="1"/>
    </font>
    <font>
      <b/>
      <sz val="10"/>
      <color rgb="FFFFFFFF"/>
      <name val="Century Gothic"/>
      <charset val="1"/>
    </font>
    <font>
      <sz val="10"/>
      <color rgb="FF0000FF"/>
      <name val="Century Gothic"/>
      <charset val="1"/>
    </font>
    <font>
      <sz val="9"/>
      <color rgb="FF535353"/>
      <name val="Century Gothic"/>
      <charset val="1"/>
    </font>
    <font>
      <i/>
      <sz val="8"/>
      <color rgb="FF535353"/>
      <name val="Century Gothic"/>
      <charset val="1"/>
    </font>
    <font>
      <sz val="10"/>
      <color rgb="FF000000"/>
      <name val="Century Gothic"/>
      <charset val="1"/>
    </font>
    <font>
      <b/>
      <sz val="10"/>
      <color rgb="FF000000"/>
      <name val="Century Gothic"/>
      <charset val="1"/>
    </font>
    <font>
      <sz val="9"/>
      <color rgb="FF000000"/>
      <name val="Century Gothic"/>
      <charset val="1"/>
    </font>
  </fonts>
  <fills count="7">
    <fill>
      <patternFill patternType="none"/>
    </fill>
    <fill>
      <patternFill patternType="gray125"/>
    </fill>
    <fill>
      <patternFill patternType="solid">
        <fgColor rgb="FF881341"/>
        <bgColor rgb="FF800080"/>
      </patternFill>
    </fill>
    <fill>
      <patternFill patternType="solid">
        <fgColor rgb="FFF1F5E6"/>
        <bgColor rgb="FFF7F7F7"/>
      </patternFill>
    </fill>
    <fill>
      <patternFill patternType="solid">
        <fgColor rgb="FFE3EBCB"/>
        <bgColor rgb="FFF1F5E6"/>
      </patternFill>
    </fill>
    <fill>
      <patternFill patternType="solid">
        <fgColor rgb="FFABC46D"/>
        <bgColor rgb="FFBFBFBF"/>
      </patternFill>
    </fill>
    <fill>
      <patternFill patternType="solid">
        <fgColor rgb="FFF7F7F7"/>
        <bgColor rgb="FFF1F5E6"/>
      </patternFill>
    </fill>
  </fills>
  <borders count="3">
    <border>
      <left/>
      <right/>
      <top/>
      <bottom/>
      <diagonal/>
    </border>
    <border>
      <left/>
      <right/>
      <top/>
      <bottom style="thin">
        <color rgb="FFABC46D"/>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65">
    <xf numFmtId="0" fontId="0" fillId="0" borderId="0" xfId="0"/>
    <xf numFmtId="0" fontId="15" fillId="6" borderId="0" xfId="0" applyFont="1" applyFill="1" applyAlignment="1">
      <alignment vertical="top" wrapText="1"/>
    </xf>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applyAlignment="1">
      <alignment vertical="top" wrapText="1"/>
    </xf>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1" xfId="0" applyFont="1" applyBorder="1"/>
    <xf numFmtId="0" fontId="0" fillId="0" borderId="1" xfId="0" applyBorder="1"/>
    <xf numFmtId="0" fontId="13" fillId="2" borderId="0" xfId="0" applyFont="1" applyFill="1" applyAlignment="1">
      <alignment horizontal="center" vertical="center" wrapText="1"/>
    </xf>
    <xf numFmtId="0" fontId="5" fillId="0" borderId="0" xfId="0" applyFont="1"/>
    <xf numFmtId="164" fontId="14" fillId="3" borderId="0" xfId="0" applyNumberFormat="1" applyFont="1" applyFill="1"/>
    <xf numFmtId="0" fontId="15" fillId="0" borderId="0" xfId="0" applyFont="1"/>
    <xf numFmtId="0" fontId="16" fillId="0" borderId="0" xfId="0" applyFont="1" applyAlignment="1">
      <alignment vertical="top" wrapText="1"/>
    </xf>
    <xf numFmtId="165" fontId="17" fillId="0" borderId="2" xfId="0" applyNumberFormat="1" applyFont="1" applyBorder="1"/>
    <xf numFmtId="166" fontId="17" fillId="0" borderId="2" xfId="0" applyNumberFormat="1" applyFont="1" applyBorder="1"/>
    <xf numFmtId="166" fontId="14" fillId="3" borderId="0" xfId="0" applyNumberFormat="1" applyFont="1" applyFill="1"/>
    <xf numFmtId="164" fontId="17" fillId="0" borderId="0" xfId="0" applyNumberFormat="1" applyFont="1"/>
    <xf numFmtId="0" fontId="4" fillId="4" borderId="0" xfId="0" applyFont="1" applyFill="1"/>
    <xf numFmtId="164" fontId="18" fillId="4" borderId="0" xfId="0" applyNumberFormat="1" applyFont="1" applyFill="1"/>
    <xf numFmtId="167" fontId="17" fillId="0" borderId="0" xfId="0" applyNumberFormat="1" applyFont="1"/>
    <xf numFmtId="166" fontId="17" fillId="0" borderId="0" xfId="0" applyNumberFormat="1" applyFont="1"/>
    <xf numFmtId="0" fontId="4" fillId="5" borderId="0" xfId="0" applyFont="1" applyFill="1"/>
    <xf numFmtId="164" fontId="18" fillId="5" borderId="0" xfId="0" applyNumberFormat="1" applyFont="1" applyFill="1"/>
    <xf numFmtId="164" fontId="18" fillId="0" borderId="0" xfId="0" applyNumberFormat="1" applyFont="1"/>
    <xf numFmtId="168" fontId="18" fillId="5" borderId="0" xfId="0" applyNumberFormat="1" applyFont="1" applyFill="1"/>
    <xf numFmtId="0" fontId="13" fillId="2" borderId="0" xfId="0" applyFont="1" applyFill="1" applyAlignment="1">
      <alignment horizontal="left" vertical="center" wrapText="1"/>
    </xf>
    <xf numFmtId="165" fontId="14" fillId="3" borderId="2" xfId="0" applyNumberFormat="1" applyFont="1" applyFill="1" applyBorder="1"/>
    <xf numFmtId="2" fontId="14" fillId="3" borderId="2" xfId="0" applyNumberFormat="1" applyFont="1" applyFill="1" applyBorder="1"/>
    <xf numFmtId="165" fontId="17" fillId="0" borderId="0" xfId="0" applyNumberFormat="1" applyFont="1"/>
    <xf numFmtId="165" fontId="14" fillId="3" borderId="0" xfId="0" applyNumberFormat="1" applyFont="1" applyFill="1"/>
    <xf numFmtId="165" fontId="18" fillId="5" borderId="0" xfId="0" applyNumberFormat="1" applyFont="1" applyFill="1"/>
    <xf numFmtId="168" fontId="17" fillId="0" borderId="0" xfId="0" applyNumberFormat="1" applyFont="1"/>
    <xf numFmtId="49" fontId="18" fillId="4" borderId="0" xfId="0" applyNumberFormat="1" applyFont="1" applyFill="1"/>
    <xf numFmtId="49" fontId="17" fillId="0" borderId="0" xfId="0" applyNumberFormat="1" applyFont="1"/>
    <xf numFmtId="168" fontId="14" fillId="3" borderId="0" xfId="0" applyNumberFormat="1" applyFont="1" applyFill="1"/>
    <xf numFmtId="49" fontId="18" fillId="0" borderId="0" xfId="0" applyNumberFormat="1" applyFont="1"/>
    <xf numFmtId="0" fontId="14" fillId="3" borderId="2" xfId="0" applyFont="1" applyFill="1" applyBorder="1"/>
    <xf numFmtId="165" fontId="14" fillId="3" borderId="2" xfId="0" applyNumberFormat="1" applyFont="1" applyFill="1" applyBorder="1" applyAlignment="1">
      <alignment horizontal="center"/>
    </xf>
    <xf numFmtId="1" fontId="14" fillId="3" borderId="2" xfId="0" applyNumberFormat="1" applyFont="1" applyFill="1" applyBorder="1" applyAlignment="1">
      <alignment horizontal="center"/>
    </xf>
    <xf numFmtId="0" fontId="18" fillId="5" borderId="0" xfId="0" applyFont="1" applyFill="1"/>
    <xf numFmtId="0" fontId="0" fillId="5" borderId="0" xfId="0" applyFill="1"/>
    <xf numFmtId="1" fontId="14" fillId="3" borderId="0" xfId="0" applyNumberFormat="1" applyFont="1" applyFill="1"/>
    <xf numFmtId="1" fontId="17" fillId="0" borderId="0" xfId="0" applyNumberFormat="1" applyFont="1"/>
    <xf numFmtId="165" fontId="18" fillId="4" borderId="0" xfId="0" applyNumberFormat="1" applyFont="1" applyFill="1"/>
    <xf numFmtId="2" fontId="14" fillId="3" borderId="0" xfId="0" applyNumberFormat="1" applyFont="1" applyFill="1"/>
    <xf numFmtId="0" fontId="5" fillId="0" borderId="2" xfId="0" applyFont="1" applyBorder="1"/>
    <xf numFmtId="169" fontId="14" fillId="3" borderId="2" xfId="0" applyNumberFormat="1" applyFont="1" applyFill="1" applyBorder="1"/>
    <xf numFmtId="0" fontId="16" fillId="0" borderId="2" xfId="0" applyFont="1" applyBorder="1" applyAlignment="1">
      <alignment vertical="top" wrapText="1"/>
    </xf>
    <xf numFmtId="0" fontId="19" fillId="0" borderId="2" xfId="0" applyFont="1" applyBorder="1" applyAlignment="1">
      <alignment vertical="top" wrapText="1"/>
    </xf>
    <xf numFmtId="49" fontId="14" fillId="3" borderId="2" xfId="0" applyNumberFormat="1" applyFont="1" applyFill="1" applyBorder="1"/>
    <xf numFmtId="0" fontId="17" fillId="0" borderId="2" xfId="0" applyFont="1" applyBorder="1"/>
    <xf numFmtId="0" fontId="15" fillId="0" borderId="2" xfId="0" applyFont="1" applyBorder="1" applyAlignment="1">
      <alignment vertical="top" wrapText="1"/>
    </xf>
    <xf numFmtId="165" fontId="18" fillId="0" borderId="0" xfId="0" applyNumberFormat="1" applyFont="1"/>
    <xf numFmtId="164" fontId="17" fillId="0" borderId="2" xfId="0" applyNumberFormat="1" applyFont="1" applyBorder="1"/>
    <xf numFmtId="164" fontId="18" fillId="0" borderId="2" xfId="0" applyNumberFormat="1" applyFont="1" applyBorder="1"/>
    <xf numFmtId="164" fontId="18" fillId="4" borderId="2" xfId="0" applyNumberFormat="1" applyFont="1" applyFill="1" applyBorder="1"/>
    <xf numFmtId="164" fontId="18" fillId="5" borderId="2" xfId="0" applyNumberFormat="1" applyFont="1" applyFill="1" applyBorder="1"/>
    <xf numFmtId="168" fontId="14" fillId="3" borderId="2" xfId="0" applyNumberFormat="1" applyFont="1" applyFill="1" applyBorder="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81341"/>
      <rgbColor rgb="FF008080"/>
      <rgbColor rgb="FFBFBFBF"/>
      <rgbColor rgb="FF808080"/>
      <rgbColor rgb="FF9999FF"/>
      <rgbColor rgb="FF993366"/>
      <rgbColor rgb="FFF1F5E6"/>
      <rgbColor rgb="FFF7F7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3EBCB"/>
      <rgbColor rgb="FFFFFF99"/>
      <rgbColor rgb="FF99CCFF"/>
      <rgbColor rgb="FFFF99CC"/>
      <rgbColor rgb="FFCC99FF"/>
      <rgbColor rgb="FFFFCC99"/>
      <rgbColor rgb="FF3366FF"/>
      <rgbColor rgb="FF33CCCC"/>
      <rgbColor rgb="FFABC46D"/>
      <rgbColor rgb="FFFFCC00"/>
      <rgbColor rgb="FFFF9900"/>
      <rgbColor rgb="FFFF6600"/>
      <rgbColor rgb="FF535353"/>
      <rgbColor rgb="FF9A9A9A"/>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BBSC_Calculadoras_Blog_Minero_2026.xlsx" TargetMode="External"/><Relationship Id="rId3" Type="http://schemas.openxmlformats.org/officeDocument/2006/relationships/hyperlink" Target="BBSC_Calculadoras_Blog_Minero_2026.xlsx" TargetMode="External"/><Relationship Id="rId7" Type="http://schemas.openxmlformats.org/officeDocument/2006/relationships/hyperlink" Target="BBSC_Calculadoras_Blog_Minero_2026.xlsx" TargetMode="External"/><Relationship Id="rId2" Type="http://schemas.openxmlformats.org/officeDocument/2006/relationships/hyperlink" Target="BBSC_Calculadoras_Blog_Minero_2026.xlsx" TargetMode="External"/><Relationship Id="rId1" Type="http://schemas.openxmlformats.org/officeDocument/2006/relationships/hyperlink" Target="BBSC_Calculadoras_Blog_Minero_2026.xlsx" TargetMode="External"/><Relationship Id="rId6" Type="http://schemas.openxmlformats.org/officeDocument/2006/relationships/hyperlink" Target="BBSC_Calculadoras_Blog_Minero_2026.xlsx" TargetMode="External"/><Relationship Id="rId5" Type="http://schemas.openxmlformats.org/officeDocument/2006/relationships/hyperlink" Target="BBSC_Calculadoras_Blog_Minero_2026.xlsx" TargetMode="External"/><Relationship Id="rId10" Type="http://schemas.openxmlformats.org/officeDocument/2006/relationships/hyperlink" Target="BBSC_Calculadoras_Blog_Minero_2026.xlsx" TargetMode="External"/><Relationship Id="rId4" Type="http://schemas.openxmlformats.org/officeDocument/2006/relationships/hyperlink" Target="BBSC_Calculadoras_Blog_Minero_2026.xlsx" TargetMode="External"/><Relationship Id="rId9" Type="http://schemas.openxmlformats.org/officeDocument/2006/relationships/hyperlink" Target="BBSC_Calculadoras_Blog_Minero_2026.xlsx"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BBSC_Calculadoras_Blog_Minero_2026.xls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BBSC_Calculadoras_Blog_Minero_2026.xls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BBSC_Calculadoras_Blog_Minero_2026.xls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BBSC_Calculadoras_Blog_Minero_2026.xlsx"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BBSC_Calculadoras_Blog_Minero_2026.xlsx"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BBSC_Calculadoras_Blog_Minero_2026.xlsx"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BBSC_Calculadoras_Blog_Minero_2026.xls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BBSC_Calculadoras_Blog_Minero_2026.xls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BBSC_Calculadoras_Blog_Minero_2026.xlsx"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BBSC_Calculadoras_Blog_Minero_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81341"/>
    <pageSetUpPr fitToPage="1"/>
  </sheetPr>
  <dimension ref="B2:C22"/>
  <sheetViews>
    <sheetView showGridLines="0" tabSelected="1" zoomScaleNormal="100" workbookViewId="0"/>
  </sheetViews>
  <sheetFormatPr baseColWidth="10" defaultColWidth="8.6640625" defaultRowHeight="14.4" x14ac:dyDescent="0.3"/>
  <cols>
    <col min="1" max="1" width="2" customWidth="1"/>
    <col min="2" max="2" width="26" customWidth="1"/>
    <col min="3" max="3" width="74" customWidth="1"/>
    <col min="4" max="5" width="4" customWidth="1"/>
  </cols>
  <sheetData>
    <row r="2" spans="2:3" ht="20.399999999999999" x14ac:dyDescent="0.35">
      <c r="B2" s="2" t="s">
        <v>0</v>
      </c>
    </row>
    <row r="3" spans="2:3" x14ac:dyDescent="0.3">
      <c r="B3" s="3" t="s">
        <v>1</v>
      </c>
    </row>
    <row r="5" spans="2:3" ht="15.6" x14ac:dyDescent="0.3">
      <c r="B5" s="4" t="s">
        <v>2</v>
      </c>
    </row>
    <row r="6" spans="2:3" ht="27.75" customHeight="1" x14ac:dyDescent="0.3">
      <c r="B6" s="5" t="s">
        <v>3</v>
      </c>
      <c r="C6" s="6" t="s">
        <v>4</v>
      </c>
    </row>
    <row r="7" spans="2:3" ht="27.75" customHeight="1" x14ac:dyDescent="0.3">
      <c r="B7" s="5" t="s">
        <v>5</v>
      </c>
      <c r="C7" s="6" t="s">
        <v>6</v>
      </c>
    </row>
    <row r="8" spans="2:3" ht="27.75" customHeight="1" x14ac:dyDescent="0.3">
      <c r="B8" s="5" t="s">
        <v>7</v>
      </c>
      <c r="C8" s="6" t="s">
        <v>8</v>
      </c>
    </row>
    <row r="10" spans="2:3" ht="15.6" x14ac:dyDescent="0.3">
      <c r="B10" s="4" t="s">
        <v>9</v>
      </c>
    </row>
    <row r="11" spans="2:3" ht="25.5" customHeight="1" x14ac:dyDescent="0.3">
      <c r="B11" s="7" t="s">
        <v>10</v>
      </c>
      <c r="C11" s="6" t="s">
        <v>11</v>
      </c>
    </row>
    <row r="12" spans="2:3" ht="25.5" customHeight="1" x14ac:dyDescent="0.3">
      <c r="B12" s="7" t="s">
        <v>12</v>
      </c>
      <c r="C12" s="6" t="s">
        <v>13</v>
      </c>
    </row>
    <row r="13" spans="2:3" ht="25.5" customHeight="1" x14ac:dyDescent="0.3">
      <c r="B13" s="7" t="s">
        <v>14</v>
      </c>
      <c r="C13" s="6" t="s">
        <v>15</v>
      </c>
    </row>
    <row r="14" spans="2:3" ht="25.5" customHeight="1" x14ac:dyDescent="0.3">
      <c r="B14" s="7" t="s">
        <v>16</v>
      </c>
      <c r="C14" s="6" t="s">
        <v>17</v>
      </c>
    </row>
    <row r="15" spans="2:3" ht="25.5" customHeight="1" x14ac:dyDescent="0.3">
      <c r="B15" s="7" t="s">
        <v>18</v>
      </c>
      <c r="C15" s="6" t="s">
        <v>19</v>
      </c>
    </row>
    <row r="16" spans="2:3" ht="25.5" customHeight="1" x14ac:dyDescent="0.3">
      <c r="B16" s="7" t="s">
        <v>20</v>
      </c>
      <c r="C16" s="6" t="s">
        <v>21</v>
      </c>
    </row>
    <row r="17" spans="2:3" ht="25.5" customHeight="1" x14ac:dyDescent="0.3">
      <c r="B17" s="7" t="s">
        <v>22</v>
      </c>
      <c r="C17" s="6" t="s">
        <v>23</v>
      </c>
    </row>
    <row r="18" spans="2:3" ht="25.5" customHeight="1" x14ac:dyDescent="0.3">
      <c r="B18" s="7" t="s">
        <v>24</v>
      </c>
      <c r="C18" s="6" t="s">
        <v>25</v>
      </c>
    </row>
    <row r="19" spans="2:3" ht="25.5" customHeight="1" x14ac:dyDescent="0.3">
      <c r="B19" s="7" t="s">
        <v>26</v>
      </c>
      <c r="C19" s="6" t="s">
        <v>27</v>
      </c>
    </row>
    <row r="20" spans="2:3" ht="25.5" customHeight="1" x14ac:dyDescent="0.3">
      <c r="B20" s="7" t="s">
        <v>28</v>
      </c>
      <c r="C20" s="6" t="s">
        <v>29</v>
      </c>
    </row>
    <row r="22" spans="2:3" x14ac:dyDescent="0.3">
      <c r="B22" s="8" t="s">
        <v>30</v>
      </c>
    </row>
  </sheetData>
  <hyperlinks>
    <hyperlink ref="B11" r:id="rId1" location="'01_Despeje'!B1" xr:uid="{00000000-0004-0000-0000-000000000000}"/>
    <hyperlink ref="B12" r:id="rId2" location="'02_Umbral'!B1" xr:uid="{00000000-0004-0000-0000-000001000000}"/>
    <hyperlink ref="B13" r:id="rId3" location="'03_Tope'!B1" xr:uid="{00000000-0004-0000-0000-000002000000}"/>
    <hyperlink ref="B14" r:id="rId4" location="'04_GOPM'!B1" xr:uid="{00000000-0004-0000-0000-000003000000}"/>
    <hyperlink ref="B15" r:id="rId5" location="'05_Depreciacion'!B1" xr:uid="{00000000-0004-0000-0000-000004000000}"/>
    <hyperlink ref="B16" r:id="rId6" location="'06_Patentes'!B1" xr:uid="{00000000-0004-0000-0000-000005000000}"/>
    <hyperlink ref="B17" r:id="rId7" location="'07_Cierre'!B1" xr:uid="{00000000-0004-0000-0000-000006000000}"/>
    <hyperlink ref="B18" r:id="rId8" location="'08_Clasificador'!B1" xr:uid="{00000000-0004-0000-0000-000007000000}"/>
    <hyperlink ref="B19" r:id="rId9" location="'09_AdValorem_EEFF'!B1" xr:uid="{00000000-0004-0000-0000-000008000000}"/>
    <hyperlink ref="B20" r:id="rId10" location="'10_Invariabilidad'!B1" xr:uid="{00000000-0004-0000-0000-000009000000}"/>
  </hyperlinks>
  <pageMargins left="0.75" right="0.75" top="1" bottom="1" header="0.511811023622047" footer="0.5"/>
  <pageSetup orientation="landscape" horizontalDpi="300" verticalDpi="300"/>
  <headerFooter>
    <oddFooter>&amp;C&amp;8 &amp;K888888BBSC® · Calculadoras del blog minero 2026</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ABC46D"/>
    <pageSetUpPr fitToPage="1"/>
  </sheetPr>
  <dimension ref="B1:E34"/>
  <sheetViews>
    <sheetView showGridLines="0" zoomScaleNormal="100" workbookViewId="0"/>
  </sheetViews>
  <sheetFormatPr baseColWidth="10" defaultColWidth="8.6640625" defaultRowHeight="14.4" x14ac:dyDescent="0.3"/>
  <cols>
    <col min="1" max="1" width="2" customWidth="1"/>
    <col min="2" max="2" width="58" customWidth="1"/>
    <col min="3" max="3" width="16" customWidth="1"/>
    <col min="4" max="4" width="30" customWidth="1"/>
    <col min="5" max="5" width="56" customWidth="1"/>
  </cols>
  <sheetData>
    <row r="1" spans="2:5" ht="24" customHeight="1" x14ac:dyDescent="0.3">
      <c r="B1" s="9" t="s">
        <v>260</v>
      </c>
    </row>
    <row r="2" spans="2:5" x14ac:dyDescent="0.3">
      <c r="B2" s="10" t="s">
        <v>261</v>
      </c>
    </row>
    <row r="3" spans="2:5" x14ac:dyDescent="0.3">
      <c r="B3" s="11" t="s">
        <v>33</v>
      </c>
    </row>
    <row r="5" spans="2:5" x14ac:dyDescent="0.3">
      <c r="B5" s="13" t="s">
        <v>262</v>
      </c>
      <c r="C5" s="14"/>
      <c r="D5" s="14"/>
      <c r="E5" s="14"/>
    </row>
    <row r="6" spans="2:5" x14ac:dyDescent="0.3">
      <c r="B6" s="16" t="s">
        <v>263</v>
      </c>
      <c r="C6" s="17">
        <v>1205496.21</v>
      </c>
      <c r="D6" s="18" t="s">
        <v>40</v>
      </c>
    </row>
    <row r="7" spans="2:5" x14ac:dyDescent="0.3">
      <c r="B7" s="16" t="s">
        <v>264</v>
      </c>
      <c r="C7" s="17">
        <v>715000</v>
      </c>
      <c r="D7" s="18" t="s">
        <v>40</v>
      </c>
    </row>
    <row r="8" spans="2:5" x14ac:dyDescent="0.3">
      <c r="B8" s="16" t="s">
        <v>265</v>
      </c>
      <c r="C8" s="17">
        <v>95000</v>
      </c>
      <c r="D8" s="18" t="s">
        <v>40</v>
      </c>
    </row>
    <row r="9" spans="2:5" x14ac:dyDescent="0.3">
      <c r="B9" s="16" t="s">
        <v>52</v>
      </c>
      <c r="C9" s="17">
        <v>11454.96</v>
      </c>
      <c r="D9" s="18" t="s">
        <v>40</v>
      </c>
    </row>
    <row r="10" spans="2:5" x14ac:dyDescent="0.3">
      <c r="B10" s="16" t="s">
        <v>57</v>
      </c>
      <c r="C10" s="17">
        <v>59694.42</v>
      </c>
      <c r="D10" s="18" t="s">
        <v>40</v>
      </c>
    </row>
    <row r="11" spans="2:5" x14ac:dyDescent="0.3">
      <c r="B11" s="16" t="s">
        <v>110</v>
      </c>
      <c r="C11" s="17">
        <v>73614.64</v>
      </c>
      <c r="D11" s="18" t="s">
        <v>40</v>
      </c>
    </row>
    <row r="13" spans="2:5" x14ac:dyDescent="0.3">
      <c r="B13" s="13" t="s">
        <v>266</v>
      </c>
      <c r="C13" s="14"/>
      <c r="D13" s="14"/>
      <c r="E13" s="14"/>
    </row>
    <row r="14" spans="2:5" ht="21.75" customHeight="1" x14ac:dyDescent="0.3">
      <c r="B14" s="32" t="s">
        <v>267</v>
      </c>
      <c r="C14" s="15" t="s">
        <v>268</v>
      </c>
      <c r="D14" s="15" t="s">
        <v>269</v>
      </c>
    </row>
    <row r="15" spans="2:5" x14ac:dyDescent="0.3">
      <c r="B15" s="16" t="s">
        <v>270</v>
      </c>
      <c r="C15" s="60">
        <f>C6</f>
        <v>1205496.21</v>
      </c>
      <c r="D15" s="60">
        <f>C6</f>
        <v>1205496.21</v>
      </c>
    </row>
    <row r="16" spans="2:5" x14ac:dyDescent="0.3">
      <c r="B16" s="16" t="s">
        <v>271</v>
      </c>
      <c r="C16" s="60">
        <f>-C7</f>
        <v>-715000</v>
      </c>
      <c r="D16" s="60">
        <f>-C7</f>
        <v>-715000</v>
      </c>
    </row>
    <row r="17" spans="2:5" x14ac:dyDescent="0.3">
      <c r="B17" s="16" t="s">
        <v>272</v>
      </c>
      <c r="C17" s="60">
        <f>-C9</f>
        <v>-11454.96</v>
      </c>
      <c r="D17" s="60">
        <v>0</v>
      </c>
    </row>
    <row r="18" spans="2:5" x14ac:dyDescent="0.3">
      <c r="B18" s="5" t="s">
        <v>273</v>
      </c>
      <c r="C18" s="61">
        <f>SUM(C15:C17)</f>
        <v>479041.24999999994</v>
      </c>
      <c r="D18" s="61">
        <f>SUM(D15:D17)</f>
        <v>490496.20999999996</v>
      </c>
    </row>
    <row r="19" spans="2:5" x14ac:dyDescent="0.3">
      <c r="B19" s="16" t="s">
        <v>274</v>
      </c>
      <c r="C19" s="60">
        <f>C8</f>
        <v>95000</v>
      </c>
      <c r="D19" s="60">
        <f>C8</f>
        <v>95000</v>
      </c>
    </row>
    <row r="20" spans="2:5" x14ac:dyDescent="0.3">
      <c r="B20" s="5" t="s">
        <v>275</v>
      </c>
      <c r="C20" s="62">
        <f>C18+C19</f>
        <v>574041.25</v>
      </c>
      <c r="D20" s="62">
        <f>D18+D19</f>
        <v>585496.21</v>
      </c>
    </row>
    <row r="21" spans="2:5" x14ac:dyDescent="0.3">
      <c r="B21" s="16" t="s">
        <v>276</v>
      </c>
      <c r="C21" s="60">
        <f>-(C10+C11)</f>
        <v>-133309.06</v>
      </c>
      <c r="D21" s="60">
        <f>-(C9+C10+C11)</f>
        <v>-144764.02000000002</v>
      </c>
    </row>
    <row r="22" spans="2:5" x14ac:dyDescent="0.3">
      <c r="B22" s="5" t="s">
        <v>277</v>
      </c>
      <c r="C22" s="63">
        <f>C18+C21</f>
        <v>345732.18999999994</v>
      </c>
      <c r="D22" s="63">
        <f>D18+D21</f>
        <v>345732.18999999994</v>
      </c>
    </row>
    <row r="24" spans="2:5" x14ac:dyDescent="0.3">
      <c r="B24" s="13" t="s">
        <v>278</v>
      </c>
      <c r="C24" s="14"/>
      <c r="D24" s="14"/>
      <c r="E24" s="14"/>
    </row>
    <row r="25" spans="2:5" x14ac:dyDescent="0.3">
      <c r="B25" s="16" t="s">
        <v>279</v>
      </c>
      <c r="C25" s="23">
        <f>D18-C18</f>
        <v>11454.960000000021</v>
      </c>
      <c r="D25" s="18" t="s">
        <v>40</v>
      </c>
    </row>
    <row r="26" spans="2:5" x14ac:dyDescent="0.3">
      <c r="B26" s="28" t="s">
        <v>280</v>
      </c>
      <c r="C26" s="29">
        <f>D20-C20</f>
        <v>11454.959999999963</v>
      </c>
      <c r="D26" s="18" t="s">
        <v>40</v>
      </c>
    </row>
    <row r="27" spans="2:5" x14ac:dyDescent="0.3">
      <c r="B27" s="5" t="s">
        <v>281</v>
      </c>
      <c r="C27" s="30">
        <f>D22-C22</f>
        <v>0</v>
      </c>
      <c r="D27" s="18" t="s">
        <v>40</v>
      </c>
      <c r="E27" s="19" t="s">
        <v>282</v>
      </c>
    </row>
    <row r="28" spans="2:5" x14ac:dyDescent="0.3">
      <c r="B28" s="16" t="s">
        <v>283</v>
      </c>
      <c r="C28" s="38">
        <f>IF(C6&gt;0,C20/C6,0)</f>
        <v>0.47618668996064284</v>
      </c>
    </row>
    <row r="29" spans="2:5" x14ac:dyDescent="0.3">
      <c r="B29" s="16" t="s">
        <v>284</v>
      </c>
      <c r="C29" s="38">
        <f>IF(C6&gt;0,D20/C6,0)</f>
        <v>0.48568896786494248</v>
      </c>
    </row>
    <row r="30" spans="2:5" x14ac:dyDescent="0.3">
      <c r="B30" s="16" t="s">
        <v>285</v>
      </c>
      <c r="C30" s="38">
        <f>(C9+C10)/C6</f>
        <v>5.9020824296079709E-2</v>
      </c>
    </row>
    <row r="32" spans="2:5" ht="45.75" customHeight="1" x14ac:dyDescent="0.3">
      <c r="B32" s="1" t="s">
        <v>286</v>
      </c>
      <c r="C32" s="1"/>
      <c r="D32" s="1"/>
      <c r="E32" s="1"/>
    </row>
    <row r="34" spans="2:2" x14ac:dyDescent="0.3">
      <c r="B34" s="8" t="s">
        <v>30</v>
      </c>
    </row>
  </sheetData>
  <mergeCells count="1">
    <mergeCell ref="B32:E32"/>
  </mergeCells>
  <hyperlinks>
    <hyperlink ref="B3" r:id="rId1" location="'Índice'!B10" xr:uid="{00000000-0004-0000-0900-000000000000}"/>
  </hyperlinks>
  <pageMargins left="0.75" right="0.75" top="1" bottom="1" header="0.511811023622047" footer="0.5"/>
  <pageSetup orientation="landscape" horizontalDpi="300" verticalDpi="300"/>
  <headerFooter>
    <oddFooter>&amp;C&amp;8 &amp;K888888BBSC® · Calculadoras del blog minero 2026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ABC46D"/>
    <pageSetUpPr fitToPage="1"/>
  </sheetPr>
  <dimension ref="B1:F32"/>
  <sheetViews>
    <sheetView showGridLines="0" zoomScaleNormal="100" workbookViewId="0"/>
  </sheetViews>
  <sheetFormatPr baseColWidth="10" defaultColWidth="8.6640625" defaultRowHeight="14.4" x14ac:dyDescent="0.3"/>
  <cols>
    <col min="1" max="1" width="2" customWidth="1"/>
    <col min="2" max="2" width="58" customWidth="1"/>
    <col min="3" max="3" width="16" customWidth="1"/>
    <col min="4" max="4" width="12" customWidth="1"/>
    <col min="5" max="5" width="56" customWidth="1"/>
  </cols>
  <sheetData>
    <row r="1" spans="2:6" ht="24" customHeight="1" x14ac:dyDescent="0.3">
      <c r="B1" s="9" t="s">
        <v>287</v>
      </c>
    </row>
    <row r="2" spans="2:6" x14ac:dyDescent="0.3">
      <c r="B2" s="10" t="s">
        <v>288</v>
      </c>
    </row>
    <row r="3" spans="2:6" x14ac:dyDescent="0.3">
      <c r="B3" s="11" t="s">
        <v>33</v>
      </c>
    </row>
    <row r="5" spans="2:6" x14ac:dyDescent="0.3">
      <c r="B5" s="13" t="s">
        <v>289</v>
      </c>
      <c r="C5" s="14"/>
      <c r="D5" s="14"/>
      <c r="E5" s="14"/>
    </row>
    <row r="6" spans="2:6" x14ac:dyDescent="0.3">
      <c r="B6" s="16" t="s">
        <v>290</v>
      </c>
      <c r="C6" s="36">
        <v>420</v>
      </c>
      <c r="D6" s="18" t="s">
        <v>291</v>
      </c>
      <c r="E6" s="19" t="s">
        <v>292</v>
      </c>
    </row>
    <row r="7" spans="2:6" x14ac:dyDescent="0.3">
      <c r="B7" s="16" t="s">
        <v>293</v>
      </c>
      <c r="C7" s="17">
        <v>272646.83</v>
      </c>
      <c r="D7" s="18" t="s">
        <v>40</v>
      </c>
      <c r="E7" s="19" t="s">
        <v>294</v>
      </c>
    </row>
    <row r="8" spans="2:6" x14ac:dyDescent="0.3">
      <c r="B8" s="16" t="s">
        <v>295</v>
      </c>
      <c r="C8" s="41">
        <v>1.4999999999999999E-2</v>
      </c>
      <c r="E8" s="19" t="s">
        <v>296</v>
      </c>
    </row>
    <row r="9" spans="2:6" x14ac:dyDescent="0.3">
      <c r="B9" s="16" t="s">
        <v>297</v>
      </c>
      <c r="C9" s="41">
        <v>0.08</v>
      </c>
    </row>
    <row r="10" spans="2:6" ht="20.399999999999999" x14ac:dyDescent="0.3">
      <c r="B10" s="16" t="s">
        <v>298</v>
      </c>
      <c r="C10" s="49">
        <f>IF(C6&gt;=350,20,IF(C6&gt;=100,15,IF(C6&gt;=50,10,0)))</f>
        <v>20</v>
      </c>
      <c r="D10" s="18" t="s">
        <v>141</v>
      </c>
      <c r="E10" s="19" t="s">
        <v>299</v>
      </c>
    </row>
    <row r="11" spans="2:6" x14ac:dyDescent="0.3">
      <c r="B11" s="24" t="s">
        <v>89</v>
      </c>
      <c r="C11" s="39" t="str">
        <f>IF(C10=0,"No accede a invariabilidad","Contrato con el Estado por "&amp;C10&amp;" años")</f>
        <v>Contrato con el Estado por 20 años</v>
      </c>
    </row>
    <row r="13" spans="2:6" x14ac:dyDescent="0.3">
      <c r="B13" s="13" t="s">
        <v>300</v>
      </c>
      <c r="C13" s="14"/>
      <c r="D13" s="14"/>
      <c r="E13" s="14"/>
    </row>
    <row r="14" spans="2:6" ht="21.75" customHeight="1" x14ac:dyDescent="0.3">
      <c r="B14" s="32" t="s">
        <v>301</v>
      </c>
      <c r="C14" s="15" t="s">
        <v>302</v>
      </c>
      <c r="D14" s="15" t="s">
        <v>303</v>
      </c>
      <c r="E14" s="15" t="s">
        <v>304</v>
      </c>
      <c r="F14" s="15" t="s">
        <v>305</v>
      </c>
    </row>
    <row r="15" spans="2:6" x14ac:dyDescent="0.3">
      <c r="B15" s="5" t="s">
        <v>306</v>
      </c>
      <c r="C15" s="64">
        <v>0.27</v>
      </c>
      <c r="D15" s="60">
        <f>$C$7*C15</f>
        <v>73614.644100000005</v>
      </c>
      <c r="E15" s="60">
        <f>$C$7*(C15+$C$8)</f>
        <v>77704.346550000017</v>
      </c>
      <c r="F15" s="60">
        <f>E15-D15</f>
        <v>4089.7024500000116</v>
      </c>
    </row>
    <row r="16" spans="2:6" x14ac:dyDescent="0.3">
      <c r="B16" s="5" t="s">
        <v>307</v>
      </c>
      <c r="C16" s="64">
        <v>0.255</v>
      </c>
      <c r="D16" s="60">
        <f>$C$7*C16</f>
        <v>69524.941650000008</v>
      </c>
      <c r="E16" s="60">
        <f>$C$7*(C16+$C$8)</f>
        <v>73614.644100000005</v>
      </c>
      <c r="F16" s="60">
        <f>E16-D16</f>
        <v>4089.702449999997</v>
      </c>
    </row>
    <row r="17" spans="2:6" x14ac:dyDescent="0.3">
      <c r="B17" s="5" t="s">
        <v>308</v>
      </c>
      <c r="C17" s="64">
        <v>0.24</v>
      </c>
      <c r="D17" s="60">
        <f>$C$7*C17</f>
        <v>65435.239200000004</v>
      </c>
      <c r="E17" s="60">
        <f>$C$7*(C17+$C$8)</f>
        <v>69524.941650000008</v>
      </c>
      <c r="F17" s="60">
        <f>E17-D17</f>
        <v>4089.7024500000043</v>
      </c>
    </row>
    <row r="18" spans="2:6" x14ac:dyDescent="0.3">
      <c r="B18" s="5" t="s">
        <v>309</v>
      </c>
      <c r="C18" s="64">
        <v>0.23</v>
      </c>
      <c r="D18" s="60">
        <f>$C$7*C18</f>
        <v>62708.770900000003</v>
      </c>
      <c r="E18" s="60">
        <f>$C$7*(C18+$C$8)</f>
        <v>66798.47335</v>
      </c>
      <c r="F18" s="60">
        <f>E18-D18</f>
        <v>4089.702449999997</v>
      </c>
    </row>
    <row r="20" spans="2:6" x14ac:dyDescent="0.3">
      <c r="B20" s="13" t="s">
        <v>310</v>
      </c>
      <c r="C20" s="14"/>
      <c r="D20" s="14"/>
      <c r="E20" s="14"/>
    </row>
    <row r="21" spans="2:6" x14ac:dyDescent="0.3">
      <c r="B21" s="28" t="s">
        <v>311</v>
      </c>
      <c r="C21" s="29">
        <f>F18</f>
        <v>4089.702449999997</v>
      </c>
      <c r="D21" s="18" t="s">
        <v>40</v>
      </c>
    </row>
    <row r="22" spans="2:6" x14ac:dyDescent="0.3">
      <c r="B22" s="16" t="s">
        <v>312</v>
      </c>
      <c r="C22" s="23">
        <f>F18*C10</f>
        <v>81794.048999999941</v>
      </c>
      <c r="D22" s="18" t="s">
        <v>40</v>
      </c>
    </row>
    <row r="23" spans="2:6" x14ac:dyDescent="0.3">
      <c r="B23" s="24" t="s">
        <v>313</v>
      </c>
      <c r="C23" s="25">
        <f>IF(C9&gt;0,F18*(1-(1+C9)^-C10)/C9,F18*C10)</f>
        <v>40153.301506706492</v>
      </c>
      <c r="D23" s="18" t="s">
        <v>40</v>
      </c>
      <c r="E23" s="19" t="s">
        <v>314</v>
      </c>
    </row>
    <row r="24" spans="2:6" x14ac:dyDescent="0.3">
      <c r="B24" s="16" t="s">
        <v>315</v>
      </c>
      <c r="C24" s="38">
        <f>IF(C7&gt;0,C23/C7,0)</f>
        <v>0.14727221111173927</v>
      </c>
    </row>
    <row r="26" spans="2:6" x14ac:dyDescent="0.3">
      <c r="B26" s="13" t="s">
        <v>316</v>
      </c>
      <c r="C26" s="14"/>
      <c r="D26" s="14"/>
      <c r="E26" s="14"/>
    </row>
    <row r="27" spans="2:6" x14ac:dyDescent="0.3">
      <c r="B27" s="16" t="s">
        <v>317</v>
      </c>
      <c r="C27" s="41">
        <v>0.35</v>
      </c>
      <c r="E27" s="19" t="s">
        <v>318</v>
      </c>
    </row>
    <row r="28" spans="2:6" x14ac:dyDescent="0.3">
      <c r="B28" s="5" t="s">
        <v>319</v>
      </c>
      <c r="C28" s="42" t="str">
        <f>"No: el art. 8 mide siempre con "&amp;TEXT(C27,"0,0%")&amp;" sobre la RLI"</f>
        <v>No: el art. 8 mide siempre con 35,0% sobre la RLI</v>
      </c>
    </row>
    <row r="30" spans="2:6" ht="45.75" customHeight="1" x14ac:dyDescent="0.3">
      <c r="B30" s="1" t="s">
        <v>320</v>
      </c>
      <c r="C30" s="1"/>
      <c r="D30" s="1"/>
      <c r="E30" s="1"/>
    </row>
    <row r="32" spans="2:6" x14ac:dyDescent="0.3">
      <c r="B32" s="8" t="s">
        <v>30</v>
      </c>
    </row>
  </sheetData>
  <mergeCells count="1">
    <mergeCell ref="B30:E30"/>
  </mergeCells>
  <hyperlinks>
    <hyperlink ref="B3" r:id="rId1" location="'Índice'!B10" xr:uid="{00000000-0004-0000-0A00-000000000000}"/>
  </hyperlinks>
  <pageMargins left="0.75" right="0.75" top="1" bottom="1" header="0.511811023622047" footer="0.5"/>
  <pageSetup orientation="landscape" horizontalDpi="300" verticalDpi="300"/>
  <headerFooter>
    <oddFooter>&amp;C&amp;8 &amp;K888888BBSC® · Calculadoras del blog minero 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BC46D"/>
    <pageSetUpPr fitToPage="1"/>
  </sheetPr>
  <dimension ref="B1:J33"/>
  <sheetViews>
    <sheetView showGridLines="0" topLeftCell="A17" zoomScaleNormal="100" workbookViewId="0"/>
  </sheetViews>
  <sheetFormatPr baseColWidth="10" defaultColWidth="8.6640625" defaultRowHeight="14.4" x14ac:dyDescent="0.3"/>
  <cols>
    <col min="1" max="1" width="2" customWidth="1"/>
    <col min="2" max="2" width="58" customWidth="1"/>
    <col min="3" max="3" width="16" customWidth="1"/>
    <col min="4" max="4" width="12" customWidth="1"/>
    <col min="5" max="5" width="56" customWidth="1"/>
    <col min="8" max="9" width="12" customWidth="1"/>
    <col min="10" max="10" width="13" customWidth="1"/>
  </cols>
  <sheetData>
    <row r="1" spans="2:10" ht="24" customHeight="1" x14ac:dyDescent="0.3">
      <c r="B1" s="9" t="s">
        <v>31</v>
      </c>
    </row>
    <row r="2" spans="2:10" x14ac:dyDescent="0.3">
      <c r="B2" s="10" t="s">
        <v>32</v>
      </c>
    </row>
    <row r="3" spans="2:10" x14ac:dyDescent="0.3">
      <c r="B3" s="11" t="s">
        <v>33</v>
      </c>
    </row>
    <row r="4" spans="2:10" x14ac:dyDescent="0.3">
      <c r="H4" s="12" t="s">
        <v>34</v>
      </c>
    </row>
    <row r="5" spans="2:10" ht="21.75" customHeight="1" x14ac:dyDescent="0.3">
      <c r="B5" s="13" t="s">
        <v>35</v>
      </c>
      <c r="C5" s="14"/>
      <c r="D5" s="14"/>
      <c r="E5" s="14"/>
      <c r="H5" s="15" t="s">
        <v>36</v>
      </c>
      <c r="I5" s="15" t="s">
        <v>37</v>
      </c>
      <c r="J5" s="15" t="s">
        <v>38</v>
      </c>
    </row>
    <row r="6" spans="2:10" ht="20.399999999999999" x14ac:dyDescent="0.3">
      <c r="B6" s="16" t="s">
        <v>39</v>
      </c>
      <c r="C6" s="17">
        <v>1145496.21</v>
      </c>
      <c r="D6" s="18" t="s">
        <v>40</v>
      </c>
      <c r="E6" s="19" t="s">
        <v>41</v>
      </c>
      <c r="H6" s="20">
        <v>0</v>
      </c>
      <c r="I6" s="20">
        <v>35</v>
      </c>
      <c r="J6" s="21">
        <v>0.05</v>
      </c>
    </row>
    <row r="7" spans="2:10" x14ac:dyDescent="0.3">
      <c r="B7" s="16" t="s">
        <v>42</v>
      </c>
      <c r="C7" s="17">
        <v>1205496.21</v>
      </c>
      <c r="D7" s="18" t="s">
        <v>40</v>
      </c>
      <c r="E7" s="19" t="s">
        <v>43</v>
      </c>
      <c r="H7" s="20">
        <v>35</v>
      </c>
      <c r="I7" s="20">
        <v>40</v>
      </c>
      <c r="J7" s="21">
        <v>0.08</v>
      </c>
    </row>
    <row r="8" spans="2:10" x14ac:dyDescent="0.3">
      <c r="B8" s="16" t="s">
        <v>44</v>
      </c>
      <c r="C8" s="17">
        <v>343796.21</v>
      </c>
      <c r="D8" s="18" t="s">
        <v>40</v>
      </c>
      <c r="E8" s="19" t="s">
        <v>45</v>
      </c>
      <c r="H8" s="20">
        <v>40</v>
      </c>
      <c r="I8" s="20">
        <v>45</v>
      </c>
      <c r="J8" s="21">
        <v>0.105</v>
      </c>
    </row>
    <row r="9" spans="2:10" ht="20.399999999999999" x14ac:dyDescent="0.3">
      <c r="B9" s="16" t="s">
        <v>46</v>
      </c>
      <c r="C9" s="17">
        <v>181380.09</v>
      </c>
      <c r="D9" s="18" t="s">
        <v>40</v>
      </c>
      <c r="E9" s="19" t="s">
        <v>47</v>
      </c>
      <c r="H9" s="20">
        <v>45</v>
      </c>
      <c r="I9" s="20">
        <v>50</v>
      </c>
      <c r="J9" s="21">
        <v>0.13</v>
      </c>
    </row>
    <row r="10" spans="2:10" x14ac:dyDescent="0.3">
      <c r="B10" s="16" t="s">
        <v>48</v>
      </c>
      <c r="C10" s="22">
        <v>0.01</v>
      </c>
      <c r="E10" s="19" t="s">
        <v>49</v>
      </c>
      <c r="H10" s="20">
        <v>50</v>
      </c>
      <c r="I10" s="20">
        <v>55</v>
      </c>
      <c r="J10" s="21">
        <v>0.155</v>
      </c>
    </row>
    <row r="11" spans="2:10" x14ac:dyDescent="0.3">
      <c r="H11" s="20">
        <v>55</v>
      </c>
      <c r="I11" s="20">
        <v>60</v>
      </c>
      <c r="J11" s="21">
        <v>0.18</v>
      </c>
    </row>
    <row r="12" spans="2:10" x14ac:dyDescent="0.3">
      <c r="B12" s="13" t="s">
        <v>50</v>
      </c>
      <c r="C12" s="14"/>
      <c r="D12" s="14"/>
      <c r="E12" s="14"/>
      <c r="H12" s="20">
        <v>60</v>
      </c>
      <c r="I12" s="20">
        <v>65</v>
      </c>
      <c r="J12" s="21">
        <v>0.21</v>
      </c>
    </row>
    <row r="13" spans="2:10" x14ac:dyDescent="0.3">
      <c r="B13" s="16" t="s">
        <v>51</v>
      </c>
      <c r="C13" s="23">
        <f>C8+C9</f>
        <v>525176.30000000005</v>
      </c>
      <c r="H13" s="20">
        <v>65</v>
      </c>
      <c r="I13" s="20">
        <v>70</v>
      </c>
      <c r="J13" s="21">
        <v>0.24</v>
      </c>
    </row>
    <row r="14" spans="2:10" x14ac:dyDescent="0.3">
      <c r="B14" s="16" t="s">
        <v>52</v>
      </c>
      <c r="C14" s="23">
        <f>C6*C10</f>
        <v>11454.962100000001</v>
      </c>
      <c r="H14" s="20">
        <v>70</v>
      </c>
      <c r="I14" s="20">
        <v>75</v>
      </c>
      <c r="J14" s="21">
        <v>0.27500000000000002</v>
      </c>
    </row>
    <row r="15" spans="2:10" x14ac:dyDescent="0.3">
      <c r="B15" s="24" t="s">
        <v>53</v>
      </c>
      <c r="C15" s="25">
        <f>C13-C14</f>
        <v>513721.33790000004</v>
      </c>
      <c r="H15" s="20">
        <v>75</v>
      </c>
      <c r="I15" s="20">
        <v>80</v>
      </c>
      <c r="J15" s="21">
        <v>0.31</v>
      </c>
    </row>
    <row r="16" spans="2:10" x14ac:dyDescent="0.3">
      <c r="B16" s="16" t="s">
        <v>54</v>
      </c>
      <c r="C16" s="26">
        <f>ROUND(C15/C7*100,1)</f>
        <v>42.6</v>
      </c>
      <c r="E16" s="19" t="s">
        <v>55</v>
      </c>
      <c r="H16" s="20">
        <v>80</v>
      </c>
      <c r="I16" s="20">
        <v>85</v>
      </c>
      <c r="J16" s="21">
        <v>0.34499999999999997</v>
      </c>
    </row>
    <row r="17" spans="2:10" x14ac:dyDescent="0.3">
      <c r="B17" s="16" t="s">
        <v>56</v>
      </c>
      <c r="C17" s="27">
        <f>IF(C16&lt;=20,8,IF(C16&lt;=45,ROUND(8+(12-8)/(45-20)*(C16-20),2),IF(C16&lt;=60,ROUND(12+(26-12)/(60-45)*(C16-45),2),26)))/100</f>
        <v>0.1162</v>
      </c>
      <c r="H17" s="20">
        <v>85</v>
      </c>
      <c r="I17" s="20">
        <v>1000</v>
      </c>
      <c r="J17" s="21">
        <v>0.14000000000000001</v>
      </c>
    </row>
    <row r="18" spans="2:10" x14ac:dyDescent="0.3">
      <c r="B18" s="16" t="s">
        <v>57</v>
      </c>
      <c r="C18" s="23">
        <f>MAX(0,C15*C17)</f>
        <v>59694.419463980004</v>
      </c>
    </row>
    <row r="19" spans="2:10" x14ac:dyDescent="0.3">
      <c r="B19" s="28" t="s">
        <v>58</v>
      </c>
      <c r="C19" s="29">
        <f>C14+C18</f>
        <v>71149.381563980001</v>
      </c>
    </row>
    <row r="21" spans="2:10" x14ac:dyDescent="0.3">
      <c r="B21" s="13" t="s">
        <v>59</v>
      </c>
      <c r="C21" s="14"/>
      <c r="D21" s="14"/>
      <c r="E21" s="14"/>
    </row>
    <row r="22" spans="2:10" x14ac:dyDescent="0.3">
      <c r="B22" s="16" t="s">
        <v>60</v>
      </c>
      <c r="C22" s="23">
        <f>C13</f>
        <v>525176.30000000005</v>
      </c>
    </row>
    <row r="23" spans="2:10" x14ac:dyDescent="0.3">
      <c r="B23" s="16" t="s">
        <v>54</v>
      </c>
      <c r="C23" s="26">
        <f>ROUND(C22/C7*100,1)</f>
        <v>43.6</v>
      </c>
    </row>
    <row r="24" spans="2:10" x14ac:dyDescent="0.3">
      <c r="B24" s="16" t="s">
        <v>61</v>
      </c>
      <c r="C24" s="27">
        <f>IF(C23&gt;0,SUMPRODUCT((C23&gt;$H$6:$H$17)*(((C23&lt;$I$6:$I$17)*C23+(C23&gt;=$I$6:$I$17)*$I$6:$I$17)-$H$6:$H$17)*$J$6:$J$17)/C23,0)</f>
        <v>5.7981651376146789E-2</v>
      </c>
      <c r="E24" s="19" t="s">
        <v>62</v>
      </c>
    </row>
    <row r="25" spans="2:10" x14ac:dyDescent="0.3">
      <c r="B25" s="24" t="s">
        <v>63</v>
      </c>
      <c r="C25" s="25">
        <f>MAX(0,C22*C24/(1+C24))</f>
        <v>28781.774332292753</v>
      </c>
    </row>
    <row r="27" spans="2:10" x14ac:dyDescent="0.3">
      <c r="B27" s="13" t="s">
        <v>64</v>
      </c>
      <c r="C27" s="14"/>
      <c r="D27" s="14"/>
      <c r="E27" s="14"/>
    </row>
    <row r="28" spans="2:10" x14ac:dyDescent="0.3">
      <c r="B28" s="5" t="s">
        <v>65</v>
      </c>
      <c r="C28" s="30">
        <f>C19-C25</f>
        <v>42367.607231687245</v>
      </c>
    </row>
    <row r="29" spans="2:10" x14ac:dyDescent="0.3">
      <c r="B29" s="28" t="s">
        <v>66</v>
      </c>
      <c r="C29" s="31">
        <f>IF(C25&lt;&gt;0,C19/C25-1,0)</f>
        <v>1.4720290258183066</v>
      </c>
    </row>
    <row r="31" spans="2:10" ht="45.75" customHeight="1" x14ac:dyDescent="0.3">
      <c r="B31" s="1" t="s">
        <v>67</v>
      </c>
      <c r="C31" s="1"/>
      <c r="D31" s="1"/>
      <c r="E31" s="1"/>
    </row>
    <row r="33" spans="2:2" x14ac:dyDescent="0.3">
      <c r="B33" s="8" t="s">
        <v>30</v>
      </c>
    </row>
  </sheetData>
  <mergeCells count="1">
    <mergeCell ref="B31:E31"/>
  </mergeCells>
  <hyperlinks>
    <hyperlink ref="B3" r:id="rId1" location="'Índice'!B10" xr:uid="{00000000-0004-0000-0100-000000000000}"/>
  </hyperlinks>
  <pageMargins left="0.75" right="0.75" top="1" bottom="1" header="0.511811023622047" footer="0.5"/>
  <pageSetup orientation="landscape" horizontalDpi="300" verticalDpi="300"/>
  <headerFooter>
    <oddFooter>&amp;C&amp;8 &amp;K888888BBSC® · Calculadoras del blog minero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BC46D"/>
    <pageSetUpPr fitToPage="1"/>
  </sheetPr>
  <dimension ref="B1:G26"/>
  <sheetViews>
    <sheetView showGridLines="0" zoomScaleNormal="100" workbookViewId="0"/>
  </sheetViews>
  <sheetFormatPr baseColWidth="10" defaultColWidth="8.6640625" defaultRowHeight="14.4" x14ac:dyDescent="0.3"/>
  <cols>
    <col min="1" max="1" width="2" customWidth="1"/>
    <col min="2" max="2" width="58" customWidth="1"/>
    <col min="3" max="3" width="16" customWidth="1"/>
    <col min="4" max="4" width="12" customWidth="1"/>
    <col min="5" max="5" width="20" customWidth="1"/>
    <col min="6" max="6" width="10" customWidth="1"/>
    <col min="7" max="7" width="54" customWidth="1"/>
  </cols>
  <sheetData>
    <row r="1" spans="2:7" ht="24" customHeight="1" x14ac:dyDescent="0.3">
      <c r="B1" s="9" t="s">
        <v>68</v>
      </c>
    </row>
    <row r="2" spans="2:7" x14ac:dyDescent="0.3">
      <c r="B2" s="10" t="s">
        <v>69</v>
      </c>
    </row>
    <row r="3" spans="2:7" x14ac:dyDescent="0.3">
      <c r="B3" s="11" t="s">
        <v>33</v>
      </c>
    </row>
    <row r="5" spans="2:7" x14ac:dyDescent="0.3">
      <c r="B5" s="13" t="s">
        <v>70</v>
      </c>
      <c r="C5" s="14"/>
      <c r="D5" s="14"/>
      <c r="E5" s="14"/>
    </row>
    <row r="6" spans="2:7" ht="21.75" customHeight="1" x14ac:dyDescent="0.3">
      <c r="B6" s="32" t="s">
        <v>71</v>
      </c>
      <c r="C6" s="15" t="s">
        <v>72</v>
      </c>
      <c r="D6" s="15" t="s">
        <v>73</v>
      </c>
      <c r="E6" s="15" t="s">
        <v>74</v>
      </c>
    </row>
    <row r="7" spans="2:7" x14ac:dyDescent="0.3">
      <c r="B7" s="5" t="s">
        <v>75</v>
      </c>
      <c r="C7" s="33">
        <v>790000</v>
      </c>
      <c r="D7" s="34">
        <v>3.12</v>
      </c>
      <c r="E7" s="20">
        <f t="shared" ref="E7:E12" si="0">IF(D7&gt;0,C7*1000/(D7*2204.62),0)</f>
        <v>114852.05078658827</v>
      </c>
    </row>
    <row r="8" spans="2:7" x14ac:dyDescent="0.3">
      <c r="B8" s="5" t="s">
        <v>76</v>
      </c>
      <c r="C8" s="33">
        <v>1120000</v>
      </c>
      <c r="D8" s="34">
        <v>3.8</v>
      </c>
      <c r="E8" s="20">
        <f t="shared" si="0"/>
        <v>133690.54172839908</v>
      </c>
    </row>
    <row r="9" spans="2:7" x14ac:dyDescent="0.3">
      <c r="B9" s="5" t="s">
        <v>77</v>
      </c>
      <c r="C9" s="33">
        <v>1080000</v>
      </c>
      <c r="D9" s="34">
        <v>4.0599999999999996</v>
      </c>
      <c r="E9" s="20">
        <f t="shared" si="0"/>
        <v>120660.18280553965</v>
      </c>
    </row>
    <row r="10" spans="2:7" x14ac:dyDescent="0.3">
      <c r="B10" s="5" t="s">
        <v>78</v>
      </c>
      <c r="C10" s="33">
        <v>1050000</v>
      </c>
      <c r="D10" s="34">
        <v>3.69</v>
      </c>
      <c r="E10" s="20">
        <f t="shared" si="0"/>
        <v>129071.1530914422</v>
      </c>
    </row>
    <row r="11" spans="2:7" x14ac:dyDescent="0.3">
      <c r="B11" s="5" t="s">
        <v>79</v>
      </c>
      <c r="C11" s="33">
        <v>1140000</v>
      </c>
      <c r="D11" s="34">
        <v>3.93</v>
      </c>
      <c r="E11" s="20">
        <f t="shared" si="0"/>
        <v>131576.56914926952</v>
      </c>
    </row>
    <row r="12" spans="2:7" x14ac:dyDescent="0.3">
      <c r="B12" s="5" t="s">
        <v>80</v>
      </c>
      <c r="C12" s="33">
        <v>1205496.21</v>
      </c>
      <c r="D12" s="34">
        <v>4.5</v>
      </c>
      <c r="E12" s="20">
        <f t="shared" si="0"/>
        <v>121512.11849056376</v>
      </c>
    </row>
    <row r="14" spans="2:7" x14ac:dyDescent="0.3">
      <c r="B14" s="16" t="s">
        <v>81</v>
      </c>
      <c r="E14" s="35">
        <f>IFERROR(AVERAGEIF(C7:C12,"&gt;0",E7:E12),0)</f>
        <v>125227.1026753004</v>
      </c>
      <c r="F14" s="18" t="s">
        <v>82</v>
      </c>
    </row>
    <row r="15" spans="2:7" ht="20.399999999999999" x14ac:dyDescent="0.3">
      <c r="B15" s="16" t="s">
        <v>83</v>
      </c>
      <c r="E15" s="36">
        <v>2500</v>
      </c>
      <c r="F15" s="18" t="s">
        <v>82</v>
      </c>
      <c r="G15" s="19" t="s">
        <v>84</v>
      </c>
    </row>
    <row r="16" spans="2:7" x14ac:dyDescent="0.3">
      <c r="B16" s="28" t="s">
        <v>85</v>
      </c>
      <c r="E16" s="37">
        <f>E14+E15</f>
        <v>127727.1026753004</v>
      </c>
      <c r="F16" s="18" t="s">
        <v>82</v>
      </c>
    </row>
    <row r="18" spans="2:6" x14ac:dyDescent="0.3">
      <c r="B18" s="13" t="s">
        <v>86</v>
      </c>
      <c r="C18" s="14"/>
      <c r="D18" s="14"/>
      <c r="E18" s="14"/>
    </row>
    <row r="19" spans="2:6" x14ac:dyDescent="0.3">
      <c r="B19" s="16" t="s">
        <v>87</v>
      </c>
      <c r="E19" s="17">
        <v>1145496.21</v>
      </c>
      <c r="F19" s="18" t="s">
        <v>40</v>
      </c>
    </row>
    <row r="20" spans="2:6" x14ac:dyDescent="0.3">
      <c r="B20" s="16" t="s">
        <v>88</v>
      </c>
      <c r="E20" s="38">
        <f>IF(C12&gt;0,E19/C12,0)</f>
        <v>0.95022796463209125</v>
      </c>
    </row>
    <row r="21" spans="2:6" x14ac:dyDescent="0.3">
      <c r="B21" s="24" t="s">
        <v>89</v>
      </c>
      <c r="E21" s="39" t="str">
        <f>IF(E16&lt;=12000,"Exento (art. 11 / bajo el umbral)",IF(E16&lt;=50000,"Art. 4 N° 2: tasa promedio por tonelada",IF(E20&gt;0.5,"Art. 2 + art. 3: ad valorem y tasa según MOM","Art. 2 + art. 4 N° 3: ad valorem y tramos marginales")))</f>
        <v>Art. 2 + art. 3: ad valorem y tasa según MOM</v>
      </c>
    </row>
    <row r="22" spans="2:6" x14ac:dyDescent="0.3">
      <c r="B22" s="16" t="s">
        <v>90</v>
      </c>
      <c r="E22" s="40" t="str">
        <f>IF(E16&lt;=80000,"45,5% de la RIOMA","46,5% de la RIOMA")</f>
        <v>46,5% de la RIOMA</v>
      </c>
    </row>
    <row r="24" spans="2:6" ht="45.75" customHeight="1" x14ac:dyDescent="0.3">
      <c r="B24" s="1" t="s">
        <v>91</v>
      </c>
      <c r="C24" s="1"/>
      <c r="D24" s="1"/>
      <c r="E24" s="1"/>
    </row>
    <row r="26" spans="2:6" x14ac:dyDescent="0.3">
      <c r="B26" s="8" t="s">
        <v>30</v>
      </c>
    </row>
  </sheetData>
  <mergeCells count="1">
    <mergeCell ref="B24:E24"/>
  </mergeCells>
  <hyperlinks>
    <hyperlink ref="B3" r:id="rId1" location="'Índice'!B10" xr:uid="{00000000-0004-0000-0200-000000000000}"/>
  </hyperlinks>
  <pageMargins left="0.75" right="0.75" top="1" bottom="1" header="0.511811023622047" footer="0.5"/>
  <pageSetup orientation="landscape" horizontalDpi="300" verticalDpi="300"/>
  <headerFooter>
    <oddFooter>&amp;C&amp;8 &amp;K888888BBSC® · Calculadoras del blog minero 2026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BC46D"/>
    <pageSetUpPr fitToPage="1"/>
  </sheetPr>
  <dimension ref="B1:E36"/>
  <sheetViews>
    <sheetView showGridLines="0" zoomScaleNormal="100" workbookViewId="0"/>
  </sheetViews>
  <sheetFormatPr baseColWidth="10" defaultColWidth="8.6640625" defaultRowHeight="14.4" x14ac:dyDescent="0.3"/>
  <cols>
    <col min="1" max="1" width="2" customWidth="1"/>
    <col min="2" max="2" width="58" customWidth="1"/>
    <col min="3" max="3" width="16" customWidth="1"/>
    <col min="4" max="4" width="12" customWidth="1"/>
    <col min="5" max="5" width="56" customWidth="1"/>
  </cols>
  <sheetData>
    <row r="1" spans="2:5" ht="24" customHeight="1" x14ac:dyDescent="0.3">
      <c r="B1" s="9" t="s">
        <v>92</v>
      </c>
    </row>
    <row r="2" spans="2:5" x14ac:dyDescent="0.3">
      <c r="B2" s="10" t="s">
        <v>93</v>
      </c>
    </row>
    <row r="3" spans="2:5" x14ac:dyDescent="0.3">
      <c r="B3" s="11" t="s">
        <v>33</v>
      </c>
    </row>
    <row r="5" spans="2:5" x14ac:dyDescent="0.3">
      <c r="B5" s="13" t="s">
        <v>35</v>
      </c>
      <c r="C5" s="14"/>
      <c r="D5" s="14"/>
      <c r="E5" s="14"/>
    </row>
    <row r="6" spans="2:5" x14ac:dyDescent="0.3">
      <c r="B6" s="16" t="s">
        <v>44</v>
      </c>
      <c r="C6" s="17">
        <v>343796.21</v>
      </c>
      <c r="D6" s="18" t="s">
        <v>40</v>
      </c>
    </row>
    <row r="7" spans="2:5" x14ac:dyDescent="0.3">
      <c r="B7" s="16" t="s">
        <v>51</v>
      </c>
      <c r="C7" s="17">
        <v>525176.31000000006</v>
      </c>
      <c r="D7" s="18" t="s">
        <v>40</v>
      </c>
    </row>
    <row r="8" spans="2:5" x14ac:dyDescent="0.3">
      <c r="B8" s="16" t="s">
        <v>94</v>
      </c>
      <c r="C8" s="17">
        <v>1145496.21</v>
      </c>
      <c r="D8" s="18" t="s">
        <v>40</v>
      </c>
    </row>
    <row r="9" spans="2:5" x14ac:dyDescent="0.3">
      <c r="B9" s="16" t="s">
        <v>42</v>
      </c>
      <c r="C9" s="17">
        <v>1205496.21</v>
      </c>
      <c r="D9" s="18" t="s">
        <v>40</v>
      </c>
    </row>
    <row r="10" spans="2:5" x14ac:dyDescent="0.3">
      <c r="B10" s="16" t="s">
        <v>95</v>
      </c>
      <c r="C10" s="41">
        <v>0.46500000000000002</v>
      </c>
      <c r="E10" s="19" t="s">
        <v>96</v>
      </c>
    </row>
    <row r="11" spans="2:5" x14ac:dyDescent="0.3">
      <c r="B11" s="16" t="s">
        <v>97</v>
      </c>
      <c r="C11" s="41">
        <v>0.35</v>
      </c>
      <c r="E11" s="19" t="s">
        <v>98</v>
      </c>
    </row>
    <row r="12" spans="2:5" x14ac:dyDescent="0.3">
      <c r="B12" s="16" t="s">
        <v>99</v>
      </c>
      <c r="C12" s="41">
        <v>0.27</v>
      </c>
      <c r="E12" s="19" t="s">
        <v>100</v>
      </c>
    </row>
    <row r="14" spans="2:5" x14ac:dyDescent="0.3">
      <c r="B14" s="13" t="s">
        <v>101</v>
      </c>
      <c r="C14" s="14"/>
      <c r="D14" s="14"/>
      <c r="E14" s="14"/>
    </row>
    <row r="15" spans="2:5" x14ac:dyDescent="0.3">
      <c r="B15" s="16" t="s">
        <v>102</v>
      </c>
      <c r="C15" s="23">
        <f>MAX(0,MIN(IF(C7-C8*0.01&lt;0,MAX(0,C7),C8*0.01),(C7*C10-C6*C11)/(0.65+C10),C7*C10/(1+C10)))</f>
        <v>11454.962100000001</v>
      </c>
    </row>
    <row r="16" spans="2:5" x14ac:dyDescent="0.3">
      <c r="B16" s="24" t="s">
        <v>53</v>
      </c>
      <c r="C16" s="25">
        <f>C7-C15</f>
        <v>513721.34790000005</v>
      </c>
    </row>
    <row r="17" spans="2:5" x14ac:dyDescent="0.3">
      <c r="B17" s="16" t="s">
        <v>54</v>
      </c>
      <c r="C17" s="26">
        <f>ROUND(C16/C9*100,1)</f>
        <v>42.6</v>
      </c>
    </row>
    <row r="18" spans="2:5" x14ac:dyDescent="0.3">
      <c r="B18" s="16" t="s">
        <v>103</v>
      </c>
      <c r="C18" s="27">
        <f>IF(C17&lt;=20,8,IF(C17&lt;=45,ROUND(8+(12-8)/(45-20)*(C17-20),2),IF(C17&lt;=60,ROUND(12+(26-12)/(60-45)*(C17-45),2),26)))/100</f>
        <v>0.1162</v>
      </c>
    </row>
    <row r="19" spans="2:5" x14ac:dyDescent="0.3">
      <c r="B19" s="16" t="s">
        <v>104</v>
      </c>
      <c r="C19" s="23">
        <f>MAX(0,C16*C18)</f>
        <v>59694.420625980005</v>
      </c>
    </row>
    <row r="20" spans="2:5" x14ac:dyDescent="0.3">
      <c r="B20" s="16" t="s">
        <v>105</v>
      </c>
      <c r="C20" s="23">
        <f>(C16*C10-C15-(C6-C15)*C11)/0.65</f>
        <v>170932.3506284616</v>
      </c>
      <c r="E20" s="19" t="s">
        <v>106</v>
      </c>
    </row>
    <row r="21" spans="2:5" x14ac:dyDescent="0.3">
      <c r="B21" s="24" t="s">
        <v>107</v>
      </c>
      <c r="C21" s="25">
        <f>MAX(0,MIN(C19,C20,C16*C10-C15))</f>
        <v>59694.420625980005</v>
      </c>
    </row>
    <row r="22" spans="2:5" x14ac:dyDescent="0.3">
      <c r="B22" s="28" t="s">
        <v>58</v>
      </c>
      <c r="C22" s="29">
        <f>C15+C21</f>
        <v>71149.382725980002</v>
      </c>
    </row>
    <row r="24" spans="2:5" x14ac:dyDescent="0.3">
      <c r="B24" s="13" t="s">
        <v>108</v>
      </c>
      <c r="C24" s="14"/>
      <c r="D24" s="14"/>
      <c r="E24" s="14"/>
    </row>
    <row r="25" spans="2:5" x14ac:dyDescent="0.3">
      <c r="B25" s="16" t="s">
        <v>109</v>
      </c>
      <c r="C25" s="23">
        <f>C6-C22</f>
        <v>272646.82727402</v>
      </c>
    </row>
    <row r="26" spans="2:5" x14ac:dyDescent="0.3">
      <c r="B26" s="16" t="s">
        <v>110</v>
      </c>
      <c r="C26" s="23">
        <f>MAX(0,C25)*C12</f>
        <v>73614.643363985408</v>
      </c>
    </row>
    <row r="27" spans="2:5" x14ac:dyDescent="0.3">
      <c r="B27" s="16" t="s">
        <v>111</v>
      </c>
      <c r="C27" s="23">
        <f>MAX(0,C25)*C11-C26</f>
        <v>21811.746181921582</v>
      </c>
    </row>
    <row r="28" spans="2:5" x14ac:dyDescent="0.3">
      <c r="B28" s="24" t="s">
        <v>112</v>
      </c>
      <c r="C28" s="25">
        <f>C22+C26+C27</f>
        <v>166575.77227188699</v>
      </c>
    </row>
    <row r="29" spans="2:5" x14ac:dyDescent="0.3">
      <c r="B29" s="16" t="s">
        <v>113</v>
      </c>
      <c r="C29" s="23">
        <f>C10*C16</f>
        <v>238880.42677350005</v>
      </c>
    </row>
    <row r="30" spans="2:5" x14ac:dyDescent="0.3">
      <c r="B30" s="16" t="s">
        <v>114</v>
      </c>
      <c r="C30" s="23">
        <f>C29-C28</f>
        <v>72304.654501613055</v>
      </c>
    </row>
    <row r="31" spans="2:5" x14ac:dyDescent="0.3">
      <c r="B31" s="28" t="s">
        <v>115</v>
      </c>
      <c r="C31" s="31">
        <f>IF(C16&gt;0,C28/C16,0)</f>
        <v>0.32425316361256667</v>
      </c>
    </row>
    <row r="32" spans="2:5" x14ac:dyDescent="0.3">
      <c r="B32" s="5" t="s">
        <v>116</v>
      </c>
      <c r="C32" s="42" t="str">
        <f>IF(C19&gt;C21+0.001,"Sí: el componente se redujo al límite","No: la carga está bajo el límite")</f>
        <v>No: la carga está bajo el límite</v>
      </c>
    </row>
    <row r="34" spans="2:5" ht="45.75" customHeight="1" x14ac:dyDescent="0.3">
      <c r="B34" s="1" t="s">
        <v>117</v>
      </c>
      <c r="C34" s="1"/>
      <c r="D34" s="1"/>
      <c r="E34" s="1"/>
    </row>
    <row r="36" spans="2:5" x14ac:dyDescent="0.3">
      <c r="B36" s="8" t="s">
        <v>30</v>
      </c>
    </row>
  </sheetData>
  <mergeCells count="1">
    <mergeCell ref="B34:E34"/>
  </mergeCells>
  <hyperlinks>
    <hyperlink ref="B3" r:id="rId1" location="'Índice'!B10" xr:uid="{00000000-0004-0000-0300-000000000000}"/>
  </hyperlinks>
  <pageMargins left="0.75" right="0.75" top="1" bottom="1" header="0.511811023622047" footer="0.5"/>
  <pageSetup orientation="landscape" horizontalDpi="300" verticalDpi="300"/>
  <headerFooter>
    <oddFooter>&amp;C&amp;8 &amp;K888888BBSC® · Calculadoras del blog minero 2026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BC46D"/>
    <pageSetUpPr fitToPage="1"/>
  </sheetPr>
  <dimension ref="B1:G22"/>
  <sheetViews>
    <sheetView showGridLines="0" zoomScaleNormal="100" workbookViewId="0"/>
  </sheetViews>
  <sheetFormatPr baseColWidth="10" defaultColWidth="8.6640625" defaultRowHeight="14.4" x14ac:dyDescent="0.3"/>
  <cols>
    <col min="1" max="1" width="2" customWidth="1"/>
    <col min="2" max="2" width="58" customWidth="1"/>
    <col min="3" max="3" width="16" customWidth="1"/>
    <col min="4" max="4" width="12" customWidth="1"/>
    <col min="5" max="5" width="56" customWidth="1"/>
    <col min="6" max="6" width="18" customWidth="1"/>
    <col min="7" max="7" width="20" customWidth="1"/>
  </cols>
  <sheetData>
    <row r="1" spans="2:7" ht="24" customHeight="1" x14ac:dyDescent="0.3">
      <c r="B1" s="9" t="s">
        <v>118</v>
      </c>
    </row>
    <row r="2" spans="2:7" x14ac:dyDescent="0.3">
      <c r="B2" s="10" t="s">
        <v>119</v>
      </c>
    </row>
    <row r="3" spans="2:7" x14ac:dyDescent="0.3">
      <c r="B3" s="11" t="s">
        <v>33</v>
      </c>
    </row>
    <row r="5" spans="2:7" x14ac:dyDescent="0.3">
      <c r="B5" s="13" t="s">
        <v>120</v>
      </c>
      <c r="C5" s="14"/>
      <c r="D5" s="14"/>
      <c r="E5" s="14"/>
    </row>
    <row r="6" spans="2:7" ht="21.75" customHeight="1" x14ac:dyDescent="0.3">
      <c r="B6" s="32" t="s">
        <v>121</v>
      </c>
      <c r="C6" s="15" t="s">
        <v>122</v>
      </c>
      <c r="D6" s="15" t="s">
        <v>123</v>
      </c>
      <c r="E6" s="15" t="s">
        <v>124</v>
      </c>
      <c r="F6" s="15" t="s">
        <v>125</v>
      </c>
      <c r="G6" s="15" t="s">
        <v>126</v>
      </c>
    </row>
    <row r="7" spans="2:7" x14ac:dyDescent="0.3">
      <c r="B7" s="43">
        <v>2024</v>
      </c>
      <c r="C7" s="44">
        <v>60000</v>
      </c>
      <c r="D7" s="45">
        <v>3</v>
      </c>
      <c r="E7" s="20">
        <f>IF(D7&gt;0,C7/D7,0)</f>
        <v>20000</v>
      </c>
      <c r="F7" s="20">
        <f>C7/6</f>
        <v>10000</v>
      </c>
      <c r="G7" s="20">
        <f>E7-F7</f>
        <v>10000</v>
      </c>
    </row>
    <row r="8" spans="2:7" x14ac:dyDescent="0.3">
      <c r="B8" s="43">
        <v>2025</v>
      </c>
      <c r="C8" s="44">
        <v>15000</v>
      </c>
      <c r="D8" s="45">
        <v>3</v>
      </c>
      <c r="E8" s="20">
        <f>IF(D8&gt;0,C8/D8,0)</f>
        <v>5000</v>
      </c>
      <c r="F8" s="20">
        <f>C8/6</f>
        <v>2500</v>
      </c>
      <c r="G8" s="20">
        <f>E8-F8</f>
        <v>2500</v>
      </c>
    </row>
    <row r="9" spans="2:7" x14ac:dyDescent="0.3">
      <c r="B9" s="43"/>
      <c r="C9" s="44">
        <v>0</v>
      </c>
      <c r="D9" s="45">
        <v>6</v>
      </c>
      <c r="E9" s="20">
        <f>IF(D9&gt;0,C9/D9,0)</f>
        <v>0</v>
      </c>
      <c r="F9" s="20">
        <f>C9/6</f>
        <v>0</v>
      </c>
      <c r="G9" s="20">
        <f>E9-F9</f>
        <v>0</v>
      </c>
    </row>
    <row r="10" spans="2:7" x14ac:dyDescent="0.3">
      <c r="B10" s="43"/>
      <c r="C10" s="44">
        <v>0</v>
      </c>
      <c r="D10" s="45">
        <v>6</v>
      </c>
      <c r="E10" s="20">
        <f>IF(D10&gt;0,C10/D10,0)</f>
        <v>0</v>
      </c>
      <c r="F10" s="20">
        <f>C10/6</f>
        <v>0</v>
      </c>
      <c r="G10" s="20">
        <f>E10-F10</f>
        <v>0</v>
      </c>
    </row>
    <row r="11" spans="2:7" x14ac:dyDescent="0.3">
      <c r="B11" s="46" t="s">
        <v>127</v>
      </c>
      <c r="C11" s="47"/>
      <c r="D11" s="47"/>
      <c r="E11" s="37">
        <f>SUM(E7:E10)</f>
        <v>25000</v>
      </c>
      <c r="F11" s="37">
        <f>SUM(F7:F10)</f>
        <v>12500</v>
      </c>
      <c r="G11" s="37">
        <f>SUM(G7:G10)</f>
        <v>12500</v>
      </c>
    </row>
    <row r="13" spans="2:7" x14ac:dyDescent="0.3">
      <c r="B13" s="13" t="s">
        <v>128</v>
      </c>
      <c r="C13" s="14"/>
      <c r="D13" s="14"/>
      <c r="E13" s="14"/>
    </row>
    <row r="14" spans="2:7" x14ac:dyDescent="0.3">
      <c r="B14" s="16" t="s">
        <v>129</v>
      </c>
      <c r="C14" s="35">
        <f>E11</f>
        <v>25000</v>
      </c>
      <c r="D14" s="18" t="s">
        <v>40</v>
      </c>
    </row>
    <row r="15" spans="2:7" x14ac:dyDescent="0.3">
      <c r="B15" s="16" t="s">
        <v>130</v>
      </c>
      <c r="C15" s="35">
        <f>F11</f>
        <v>12500</v>
      </c>
      <c r="D15" s="18" t="s">
        <v>40</v>
      </c>
    </row>
    <row r="16" spans="2:7" x14ac:dyDescent="0.3">
      <c r="B16" s="28" t="s">
        <v>131</v>
      </c>
      <c r="C16" s="37">
        <f>G11</f>
        <v>12500</v>
      </c>
      <c r="D16" s="18" t="s">
        <v>40</v>
      </c>
    </row>
    <row r="17" spans="2:5" x14ac:dyDescent="0.3">
      <c r="B17" s="16" t="s">
        <v>132</v>
      </c>
      <c r="C17" s="22">
        <v>0.1162</v>
      </c>
      <c r="E17" s="19" t="s">
        <v>133</v>
      </c>
    </row>
    <row r="18" spans="2:5" x14ac:dyDescent="0.3">
      <c r="B18" s="24" t="s">
        <v>134</v>
      </c>
      <c r="C18" s="25">
        <f>C16*C17</f>
        <v>1452.5</v>
      </c>
      <c r="D18" s="18" t="s">
        <v>40</v>
      </c>
    </row>
    <row r="20" spans="2:5" ht="45.75" customHeight="1" x14ac:dyDescent="0.3">
      <c r="B20" s="1" t="s">
        <v>135</v>
      </c>
      <c r="C20" s="1"/>
      <c r="D20" s="1"/>
      <c r="E20" s="1"/>
    </row>
    <row r="22" spans="2:5" x14ac:dyDescent="0.3">
      <c r="B22" s="8" t="s">
        <v>30</v>
      </c>
    </row>
  </sheetData>
  <mergeCells count="1">
    <mergeCell ref="B20:E20"/>
  </mergeCells>
  <hyperlinks>
    <hyperlink ref="B3" r:id="rId1" location="'Índice'!B10" xr:uid="{00000000-0004-0000-0400-000000000000}"/>
  </hyperlinks>
  <pageMargins left="0.75" right="0.75" top="1" bottom="1" header="0.511811023622047" footer="0.5"/>
  <pageSetup orientation="landscape" horizontalDpi="300" verticalDpi="300"/>
  <headerFooter>
    <oddFooter>&amp;C&amp;8 &amp;K888888BBSC® · Calculadoras del blog minero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ABC46D"/>
    <pageSetUpPr fitToPage="1"/>
  </sheetPr>
  <dimension ref="B1:E31"/>
  <sheetViews>
    <sheetView showGridLines="0" zoomScaleNormal="100" workbookViewId="0"/>
  </sheetViews>
  <sheetFormatPr baseColWidth="10" defaultColWidth="8.6640625" defaultRowHeight="14.4" x14ac:dyDescent="0.3"/>
  <cols>
    <col min="1" max="1" width="2" customWidth="1"/>
    <col min="2" max="2" width="58" customWidth="1"/>
    <col min="3" max="3" width="16" customWidth="1"/>
    <col min="4" max="4" width="12" customWidth="1"/>
    <col min="5" max="5" width="56" customWidth="1"/>
  </cols>
  <sheetData>
    <row r="1" spans="2:5" ht="24" customHeight="1" x14ac:dyDescent="0.3">
      <c r="B1" s="9" t="s">
        <v>136</v>
      </c>
    </row>
    <row r="2" spans="2:5" x14ac:dyDescent="0.3">
      <c r="B2" s="10" t="s">
        <v>137</v>
      </c>
    </row>
    <row r="3" spans="2:5" x14ac:dyDescent="0.3">
      <c r="B3" s="11" t="s">
        <v>33</v>
      </c>
    </row>
    <row r="5" spans="2:5" x14ac:dyDescent="0.3">
      <c r="B5" s="13" t="s">
        <v>138</v>
      </c>
      <c r="C5" s="14"/>
      <c r="D5" s="14"/>
      <c r="E5" s="14"/>
    </row>
    <row r="6" spans="2:5" x14ac:dyDescent="0.3">
      <c r="B6" s="16" t="s">
        <v>139</v>
      </c>
      <c r="C6" s="36">
        <v>1050000</v>
      </c>
      <c r="D6" s="18" t="s">
        <v>40</v>
      </c>
    </row>
    <row r="7" spans="2:5" x14ac:dyDescent="0.3">
      <c r="B7" s="16" t="s">
        <v>140</v>
      </c>
      <c r="C7" s="48">
        <v>15</v>
      </c>
      <c r="D7" s="18" t="s">
        <v>141</v>
      </c>
    </row>
    <row r="8" spans="2:5" x14ac:dyDescent="0.3">
      <c r="B8" s="16" t="s">
        <v>142</v>
      </c>
      <c r="C8" s="48">
        <v>1</v>
      </c>
      <c r="E8" s="19" t="s">
        <v>143</v>
      </c>
    </row>
    <row r="9" spans="2:5" x14ac:dyDescent="0.3">
      <c r="B9" s="16" t="s">
        <v>144</v>
      </c>
      <c r="C9" s="36">
        <v>95000</v>
      </c>
      <c r="D9" s="18" t="s">
        <v>40</v>
      </c>
      <c r="E9" s="19" t="s">
        <v>145</v>
      </c>
    </row>
    <row r="11" spans="2:5" x14ac:dyDescent="0.3">
      <c r="B11" s="13" t="s">
        <v>146</v>
      </c>
      <c r="C11" s="14"/>
      <c r="D11" s="14"/>
      <c r="E11" s="14"/>
    </row>
    <row r="12" spans="2:5" x14ac:dyDescent="0.3">
      <c r="B12" s="16" t="s">
        <v>147</v>
      </c>
      <c r="C12" s="49">
        <f>MAX(3,ROUND(C7/3,0))</f>
        <v>5</v>
      </c>
      <c r="D12" s="18" t="s">
        <v>141</v>
      </c>
    </row>
    <row r="13" spans="2:5" x14ac:dyDescent="0.3">
      <c r="B13" s="16" t="s">
        <v>148</v>
      </c>
      <c r="C13" s="35">
        <f>C6/C7</f>
        <v>70000</v>
      </c>
      <c r="D13" s="18" t="s">
        <v>40</v>
      </c>
    </row>
    <row r="14" spans="2:5" x14ac:dyDescent="0.3">
      <c r="B14" s="16" t="s">
        <v>149</v>
      </c>
      <c r="C14" s="35">
        <f>IF(C8=1,C6/C12,C6/C7)</f>
        <v>210000</v>
      </c>
      <c r="D14" s="18" t="s">
        <v>40</v>
      </c>
    </row>
    <row r="15" spans="2:5" x14ac:dyDescent="0.3">
      <c r="B15" s="24" t="s">
        <v>150</v>
      </c>
      <c r="C15" s="50">
        <f>C14</f>
        <v>210000</v>
      </c>
      <c r="D15" s="18" t="s">
        <v>40</v>
      </c>
    </row>
    <row r="17" spans="2:5" x14ac:dyDescent="0.3">
      <c r="B17" s="13" t="s">
        <v>151</v>
      </c>
      <c r="C17" s="14"/>
      <c r="D17" s="14"/>
      <c r="E17" s="14"/>
    </row>
    <row r="18" spans="2:5" x14ac:dyDescent="0.3">
      <c r="B18" s="16" t="s">
        <v>152</v>
      </c>
      <c r="C18" s="35">
        <f>C14</f>
        <v>210000</v>
      </c>
      <c r="D18" s="18" t="s">
        <v>40</v>
      </c>
    </row>
    <row r="19" spans="2:5" x14ac:dyDescent="0.3">
      <c r="B19" s="16" t="s">
        <v>153</v>
      </c>
      <c r="C19" s="35">
        <f>-C13</f>
        <v>-70000</v>
      </c>
      <c r="D19" s="18" t="s">
        <v>40</v>
      </c>
    </row>
    <row r="20" spans="2:5" x14ac:dyDescent="0.3">
      <c r="B20" s="28" t="s">
        <v>154</v>
      </c>
      <c r="C20" s="37">
        <f>C18+C19</f>
        <v>140000</v>
      </c>
      <c r="D20" s="18" t="s">
        <v>40</v>
      </c>
    </row>
    <row r="22" spans="2:5" x14ac:dyDescent="0.3">
      <c r="B22" s="13" t="s">
        <v>155</v>
      </c>
      <c r="C22" s="14"/>
      <c r="D22" s="14"/>
      <c r="E22" s="14"/>
    </row>
    <row r="23" spans="2:5" x14ac:dyDescent="0.3">
      <c r="B23" s="16" t="s">
        <v>99</v>
      </c>
      <c r="C23" s="41">
        <v>0.27</v>
      </c>
    </row>
    <row r="24" spans="2:5" x14ac:dyDescent="0.3">
      <c r="B24" s="16" t="s">
        <v>156</v>
      </c>
      <c r="C24" s="22">
        <v>0.1162</v>
      </c>
    </row>
    <row r="25" spans="2:5" x14ac:dyDescent="0.3">
      <c r="B25" s="16" t="s">
        <v>157</v>
      </c>
      <c r="C25" s="23">
        <f>(C14-C13)*C23</f>
        <v>37800</v>
      </c>
      <c r="D25" s="18" t="s">
        <v>40</v>
      </c>
    </row>
    <row r="26" spans="2:5" x14ac:dyDescent="0.3">
      <c r="B26" s="16" t="s">
        <v>158</v>
      </c>
      <c r="C26" s="23">
        <f>C20*C24</f>
        <v>16268</v>
      </c>
      <c r="D26" s="18" t="s">
        <v>40</v>
      </c>
    </row>
    <row r="27" spans="2:5" ht="20.399999999999999" x14ac:dyDescent="0.3">
      <c r="B27" s="24" t="s">
        <v>159</v>
      </c>
      <c r="C27" s="25">
        <f>C25-C26</f>
        <v>21532</v>
      </c>
      <c r="D27" s="18" t="s">
        <v>40</v>
      </c>
      <c r="E27" s="19" t="s">
        <v>160</v>
      </c>
    </row>
    <row r="29" spans="2:5" ht="45.75" customHeight="1" x14ac:dyDescent="0.3">
      <c r="B29" s="1" t="s">
        <v>161</v>
      </c>
      <c r="C29" s="1"/>
      <c r="D29" s="1"/>
      <c r="E29" s="1"/>
    </row>
    <row r="31" spans="2:5" x14ac:dyDescent="0.3">
      <c r="B31" s="8" t="s">
        <v>30</v>
      </c>
    </row>
  </sheetData>
  <mergeCells count="1">
    <mergeCell ref="B29:E29"/>
  </mergeCells>
  <hyperlinks>
    <hyperlink ref="B3" r:id="rId1" location="'Índice'!B10" xr:uid="{00000000-0004-0000-0500-000000000000}"/>
  </hyperlinks>
  <pageMargins left="0.75" right="0.75" top="1" bottom="1" header="0.511811023622047" footer="0.5"/>
  <pageSetup orientation="landscape" horizontalDpi="300" verticalDpi="300"/>
  <headerFooter>
    <oddFooter>&amp;C&amp;8 &amp;K888888BBSC® · Calculadoras del blog minero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ABC46D"/>
    <pageSetUpPr fitToPage="1"/>
  </sheetPr>
  <dimension ref="B1:F24"/>
  <sheetViews>
    <sheetView showGridLines="0" topLeftCell="A3" zoomScaleNormal="100" workbookViewId="0">
      <selection activeCell="C6" sqref="C6"/>
    </sheetView>
  </sheetViews>
  <sheetFormatPr baseColWidth="10" defaultColWidth="8.6640625" defaultRowHeight="14.4" x14ac:dyDescent="0.3"/>
  <cols>
    <col min="1" max="1" width="2" customWidth="1"/>
    <col min="2" max="2" width="58" customWidth="1"/>
    <col min="3" max="3" width="16" customWidth="1"/>
    <col min="4" max="4" width="12" customWidth="1"/>
    <col min="5" max="5" width="56" customWidth="1"/>
    <col min="6" max="6" width="46" customWidth="1"/>
  </cols>
  <sheetData>
    <row r="1" spans="2:6" ht="24" customHeight="1" x14ac:dyDescent="0.3">
      <c r="B1" s="9" t="s">
        <v>162</v>
      </c>
    </row>
    <row r="2" spans="2:6" x14ac:dyDescent="0.3">
      <c r="B2" s="10" t="s">
        <v>163</v>
      </c>
    </row>
    <row r="3" spans="2:6" x14ac:dyDescent="0.3">
      <c r="B3" s="11" t="s">
        <v>33</v>
      </c>
    </row>
    <row r="5" spans="2:6" x14ac:dyDescent="0.3">
      <c r="B5" s="13" t="s">
        <v>164</v>
      </c>
      <c r="C5" s="14"/>
      <c r="D5" s="14"/>
      <c r="E5" s="14"/>
    </row>
    <row r="6" spans="2:6" x14ac:dyDescent="0.3">
      <c r="B6" s="16" t="s">
        <v>165</v>
      </c>
      <c r="C6" s="36">
        <v>70000</v>
      </c>
      <c r="D6" s="18" t="s">
        <v>166</v>
      </c>
      <c r="E6" s="19" t="s">
        <v>167</v>
      </c>
    </row>
    <row r="7" spans="2:6" x14ac:dyDescent="0.3">
      <c r="B7" s="16" t="s">
        <v>168</v>
      </c>
      <c r="C7" s="51">
        <v>950</v>
      </c>
      <c r="D7" s="18" t="s">
        <v>169</v>
      </c>
    </row>
    <row r="9" spans="2:6" x14ac:dyDescent="0.3">
      <c r="B9" s="13" t="s">
        <v>170</v>
      </c>
      <c r="C9" s="14"/>
      <c r="D9" s="14"/>
      <c r="E9" s="14"/>
    </row>
    <row r="10" spans="2:6" ht="21.75" customHeight="1" x14ac:dyDescent="0.3">
      <c r="B10" s="32" t="s">
        <v>171</v>
      </c>
      <c r="C10" s="15" t="s">
        <v>172</v>
      </c>
      <c r="D10" s="15" t="s">
        <v>173</v>
      </c>
      <c r="E10" s="15" t="s">
        <v>174</v>
      </c>
      <c r="F10" s="15" t="s">
        <v>175</v>
      </c>
    </row>
    <row r="11" spans="2:6" ht="25.5" customHeight="1" x14ac:dyDescent="0.3">
      <c r="B11" s="52" t="s">
        <v>176</v>
      </c>
      <c r="C11" s="33">
        <v>12000</v>
      </c>
      <c r="D11" s="53">
        <f>3/50</f>
        <v>0.06</v>
      </c>
      <c r="E11" s="20">
        <f>C11*D11*$C$6</f>
        <v>50400000</v>
      </c>
      <c r="F11" s="54" t="s">
        <v>177</v>
      </c>
    </row>
    <row r="12" spans="2:6" ht="25.5" customHeight="1" x14ac:dyDescent="0.3">
      <c r="B12" s="52" t="s">
        <v>178</v>
      </c>
      <c r="C12" s="33">
        <v>8000</v>
      </c>
      <c r="D12" s="53">
        <f>1/10</f>
        <v>0.1</v>
      </c>
      <c r="E12" s="20">
        <f>C12*D12*$C$6</f>
        <v>56000000</v>
      </c>
      <c r="F12" s="54" t="s">
        <v>179</v>
      </c>
    </row>
    <row r="13" spans="2:6" ht="25.5" customHeight="1" x14ac:dyDescent="0.3">
      <c r="B13" s="52" t="s">
        <v>180</v>
      </c>
      <c r="C13" s="33">
        <v>1500</v>
      </c>
      <c r="D13" s="53">
        <f>1/2</f>
        <v>0.5</v>
      </c>
      <c r="E13" s="20">
        <f>C13*D13*$C$6</f>
        <v>52500000</v>
      </c>
      <c r="F13" s="54" t="s">
        <v>181</v>
      </c>
    </row>
    <row r="14" spans="2:6" ht="25.5" customHeight="1" x14ac:dyDescent="0.3">
      <c r="B14" s="52" t="s">
        <v>182</v>
      </c>
      <c r="C14" s="33">
        <v>900</v>
      </c>
      <c r="D14" s="53">
        <f>1</f>
        <v>1</v>
      </c>
      <c r="E14" s="20">
        <f>C14*D14*$C$6</f>
        <v>63000000</v>
      </c>
      <c r="F14" s="54" t="s">
        <v>183</v>
      </c>
    </row>
    <row r="15" spans="2:6" ht="25.5" customHeight="1" x14ac:dyDescent="0.3">
      <c r="B15" s="52" t="s">
        <v>184</v>
      </c>
      <c r="C15" s="33">
        <v>400</v>
      </c>
      <c r="D15" s="53">
        <f>3</f>
        <v>3</v>
      </c>
      <c r="E15" s="20">
        <f>C15*D15*$C$6</f>
        <v>84000000</v>
      </c>
      <c r="F15" s="54" t="s">
        <v>185</v>
      </c>
    </row>
    <row r="16" spans="2:6" x14ac:dyDescent="0.3">
      <c r="B16" s="46" t="s">
        <v>186</v>
      </c>
      <c r="C16" s="37">
        <f>SUM(C11:C15)</f>
        <v>22800</v>
      </c>
      <c r="D16" s="47"/>
      <c r="E16" s="37">
        <f>SUM(E11:E15)</f>
        <v>305900000</v>
      </c>
    </row>
    <row r="18" spans="2:5" x14ac:dyDescent="0.3">
      <c r="B18" s="24" t="s">
        <v>187</v>
      </c>
      <c r="C18" s="50">
        <f>E16/C7</f>
        <v>322000</v>
      </c>
      <c r="D18" s="18" t="s">
        <v>188</v>
      </c>
    </row>
    <row r="19" spans="2:5" x14ac:dyDescent="0.3">
      <c r="B19" s="16" t="s">
        <v>189</v>
      </c>
      <c r="C19" s="35">
        <f>E12/C7</f>
        <v>58947.368421052633</v>
      </c>
      <c r="D19" s="18" t="s">
        <v>188</v>
      </c>
      <c r="E19" s="19" t="s">
        <v>190</v>
      </c>
    </row>
    <row r="20" spans="2:5" x14ac:dyDescent="0.3">
      <c r="B20" s="16" t="s">
        <v>191</v>
      </c>
      <c r="C20" s="35">
        <f>E11/C7</f>
        <v>53052.631578947367</v>
      </c>
      <c r="D20" s="18" t="s">
        <v>188</v>
      </c>
    </row>
    <row r="22" spans="2:5" ht="45.75" customHeight="1" x14ac:dyDescent="0.3">
      <c r="B22" s="1" t="s">
        <v>192</v>
      </c>
      <c r="C22" s="1"/>
      <c r="D22" s="1"/>
      <c r="E22" s="1"/>
    </row>
    <row r="24" spans="2:5" x14ac:dyDescent="0.3">
      <c r="B24" s="8" t="s">
        <v>30</v>
      </c>
    </row>
  </sheetData>
  <mergeCells count="1">
    <mergeCell ref="B22:E22"/>
  </mergeCells>
  <hyperlinks>
    <hyperlink ref="B3" r:id="rId1" location="'Índice'!B10" xr:uid="{00000000-0004-0000-0600-000000000000}"/>
  </hyperlinks>
  <pageMargins left="0.75" right="0.75" top="1" bottom="1" header="0.511811023622047" footer="0.5"/>
  <pageSetup orientation="landscape" horizontalDpi="300" verticalDpi="300"/>
  <headerFooter>
    <oddFooter>&amp;C&amp;8 &amp;K888888BBSC® · Calculadoras del blog minero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ABC46D"/>
    <pageSetUpPr fitToPage="1"/>
  </sheetPr>
  <dimension ref="B1:E30"/>
  <sheetViews>
    <sheetView showGridLines="0" topLeftCell="A6" zoomScaleNormal="100" workbookViewId="0"/>
  </sheetViews>
  <sheetFormatPr baseColWidth="10" defaultColWidth="8.6640625" defaultRowHeight="14.4" x14ac:dyDescent="0.3"/>
  <cols>
    <col min="1" max="1" width="2" customWidth="1"/>
    <col min="2" max="2" width="58" customWidth="1"/>
    <col min="3" max="3" width="16" customWidth="1"/>
    <col min="4" max="4" width="12" customWidth="1"/>
    <col min="5" max="5" width="56" customWidth="1"/>
  </cols>
  <sheetData>
    <row r="1" spans="2:5" ht="24" customHeight="1" x14ac:dyDescent="0.3">
      <c r="B1" s="9" t="s">
        <v>193</v>
      </c>
    </row>
    <row r="2" spans="2:5" x14ac:dyDescent="0.3">
      <c r="B2" s="10" t="s">
        <v>194</v>
      </c>
    </row>
    <row r="3" spans="2:5" x14ac:dyDescent="0.3">
      <c r="B3" s="11" t="s">
        <v>33</v>
      </c>
    </row>
    <row r="5" spans="2:5" x14ac:dyDescent="0.3">
      <c r="B5" s="13" t="s">
        <v>195</v>
      </c>
      <c r="C5" s="14"/>
      <c r="D5" s="14"/>
      <c r="E5" s="14"/>
    </row>
    <row r="6" spans="2:5" x14ac:dyDescent="0.3">
      <c r="B6" s="16" t="s">
        <v>196</v>
      </c>
      <c r="C6" s="48">
        <v>30</v>
      </c>
      <c r="D6" s="18" t="s">
        <v>141</v>
      </c>
    </row>
    <row r="7" spans="2:5" x14ac:dyDescent="0.3">
      <c r="B7" s="16" t="s">
        <v>197</v>
      </c>
      <c r="C7" s="48">
        <v>22</v>
      </c>
      <c r="D7" s="18" t="s">
        <v>198</v>
      </c>
    </row>
    <row r="8" spans="2:5" x14ac:dyDescent="0.3">
      <c r="B8" s="16" t="s">
        <v>199</v>
      </c>
      <c r="C8" s="36">
        <v>180000</v>
      </c>
      <c r="D8" s="18" t="s">
        <v>40</v>
      </c>
      <c r="E8" s="19" t="s">
        <v>200</v>
      </c>
    </row>
    <row r="9" spans="2:5" x14ac:dyDescent="0.3">
      <c r="B9" s="16" t="s">
        <v>201</v>
      </c>
      <c r="C9" s="36">
        <v>0</v>
      </c>
      <c r="D9" s="18" t="s">
        <v>40</v>
      </c>
    </row>
    <row r="10" spans="2:5" x14ac:dyDescent="0.3">
      <c r="B10" s="16" t="s">
        <v>202</v>
      </c>
      <c r="C10" s="48">
        <v>0</v>
      </c>
      <c r="E10" s="19" t="s">
        <v>203</v>
      </c>
    </row>
    <row r="12" spans="2:5" x14ac:dyDescent="0.3">
      <c r="B12" s="13" t="s">
        <v>204</v>
      </c>
      <c r="C12" s="14"/>
      <c r="D12" s="14"/>
      <c r="E12" s="14"/>
    </row>
    <row r="13" spans="2:5" x14ac:dyDescent="0.3">
      <c r="B13" s="16" t="s">
        <v>205</v>
      </c>
      <c r="C13" s="49">
        <f>ROUNDUP(C6*2/3,0)+1</f>
        <v>21</v>
      </c>
      <c r="D13" s="18" t="s">
        <v>198</v>
      </c>
    </row>
    <row r="14" spans="2:5" x14ac:dyDescent="0.3">
      <c r="B14" s="16" t="s">
        <v>206</v>
      </c>
      <c r="C14" s="49">
        <f>C6-C13+1</f>
        <v>10</v>
      </c>
      <c r="D14" s="18" t="s">
        <v>141</v>
      </c>
    </row>
    <row r="15" spans="2:5" x14ac:dyDescent="0.3">
      <c r="B15" s="5" t="s">
        <v>207</v>
      </c>
      <c r="C15" s="42" t="str">
        <f>IF(C7&gt;=C13,"Sí","No")</f>
        <v>Sí</v>
      </c>
    </row>
    <row r="16" spans="2:5" x14ac:dyDescent="0.3">
      <c r="B16" s="24" t="s">
        <v>208</v>
      </c>
      <c r="C16" s="25">
        <f>IF(C7&gt;=C13,C8/C14,0)</f>
        <v>18000</v>
      </c>
      <c r="D16" s="18" t="s">
        <v>40</v>
      </c>
    </row>
    <row r="18" spans="2:5" x14ac:dyDescent="0.3">
      <c r="B18" s="13" t="s">
        <v>151</v>
      </c>
      <c r="C18" s="14"/>
      <c r="D18" s="14"/>
      <c r="E18" s="14"/>
    </row>
    <row r="19" spans="2:5" ht="20.399999999999999" x14ac:dyDescent="0.3">
      <c r="B19" s="28" t="s">
        <v>209</v>
      </c>
      <c r="C19" s="29">
        <f>IF(C10=1,0,C16)</f>
        <v>18000</v>
      </c>
      <c r="D19" s="18" t="s">
        <v>40</v>
      </c>
      <c r="E19" s="19" t="s">
        <v>210</v>
      </c>
    </row>
    <row r="20" spans="2:5" x14ac:dyDescent="0.3">
      <c r="B20" s="16" t="s">
        <v>211</v>
      </c>
      <c r="C20" s="23">
        <f>C16-(C16-C19)</f>
        <v>18000</v>
      </c>
      <c r="D20" s="18" t="s">
        <v>40</v>
      </c>
    </row>
    <row r="22" spans="2:5" x14ac:dyDescent="0.3">
      <c r="B22" s="13" t="s">
        <v>212</v>
      </c>
      <c r="C22" s="14"/>
      <c r="D22" s="14"/>
      <c r="E22" s="14"/>
    </row>
    <row r="23" spans="2:5" x14ac:dyDescent="0.3">
      <c r="B23" s="16" t="s">
        <v>213</v>
      </c>
      <c r="C23" s="48">
        <v>1</v>
      </c>
      <c r="E23" s="19" t="s">
        <v>214</v>
      </c>
    </row>
    <row r="24" spans="2:5" x14ac:dyDescent="0.3">
      <c r="B24" s="16" t="s">
        <v>215</v>
      </c>
      <c r="C24" s="41">
        <v>0.05</v>
      </c>
    </row>
    <row r="25" spans="2:5" x14ac:dyDescent="0.3">
      <c r="B25" s="16" t="s">
        <v>216</v>
      </c>
      <c r="C25" s="49">
        <f>MAX(0,C6-C7)</f>
        <v>8</v>
      </c>
      <c r="D25" s="18" t="s">
        <v>141</v>
      </c>
    </row>
    <row r="26" spans="2:5" x14ac:dyDescent="0.3">
      <c r="B26" s="24" t="s">
        <v>217</v>
      </c>
      <c r="C26" s="25">
        <f>IF(C23=1,C8/(1+C24)^C25,0)</f>
        <v>121831.08516516369</v>
      </c>
      <c r="D26" s="18" t="s">
        <v>40</v>
      </c>
    </row>
    <row r="28" spans="2:5" ht="45.75" customHeight="1" x14ac:dyDescent="0.3">
      <c r="B28" s="1" t="s">
        <v>218</v>
      </c>
      <c r="C28" s="1"/>
      <c r="D28" s="1"/>
      <c r="E28" s="1"/>
    </row>
    <row r="30" spans="2:5" x14ac:dyDescent="0.3">
      <c r="B30" s="8" t="s">
        <v>30</v>
      </c>
    </row>
  </sheetData>
  <mergeCells count="1">
    <mergeCell ref="B28:E28"/>
  </mergeCells>
  <hyperlinks>
    <hyperlink ref="B3" r:id="rId1" location="'Índice'!B10" xr:uid="{00000000-0004-0000-0700-000000000000}"/>
  </hyperlinks>
  <pageMargins left="0.75" right="0.75" top="1" bottom="1" header="0.511811023622047" footer="0.5"/>
  <pageSetup orientation="landscape" horizontalDpi="300" verticalDpi="300"/>
  <headerFooter>
    <oddFooter>&amp;C&amp;8 &amp;K888888BBSC® · Calculadoras del blog minero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ABC46D"/>
    <pageSetUpPr fitToPage="1"/>
  </sheetPr>
  <dimension ref="B1:J26"/>
  <sheetViews>
    <sheetView showGridLines="0" zoomScaleNormal="100" workbookViewId="0"/>
  </sheetViews>
  <sheetFormatPr baseColWidth="10" defaultColWidth="8.6640625" defaultRowHeight="14.4" x14ac:dyDescent="0.3"/>
  <cols>
    <col min="1" max="1" width="2" customWidth="1"/>
    <col min="2" max="2" width="58" customWidth="1"/>
    <col min="3" max="3" width="16" customWidth="1"/>
    <col min="4" max="4" width="12" customWidth="1"/>
    <col min="5" max="5" width="56" customWidth="1"/>
    <col min="6" max="6" width="40" customWidth="1"/>
    <col min="8" max="8" width="34" customWidth="1"/>
    <col min="9" max="9" width="30" customWidth="1"/>
    <col min="10" max="10" width="46" customWidth="1"/>
  </cols>
  <sheetData>
    <row r="1" spans="2:10" ht="24" customHeight="1" x14ac:dyDescent="0.3">
      <c r="B1" s="9" t="s">
        <v>219</v>
      </c>
    </row>
    <row r="2" spans="2:10" x14ac:dyDescent="0.3">
      <c r="B2" s="10" t="s">
        <v>220</v>
      </c>
    </row>
    <row r="3" spans="2:10" x14ac:dyDescent="0.3">
      <c r="B3" s="11" t="s">
        <v>33</v>
      </c>
    </row>
    <row r="4" spans="2:10" x14ac:dyDescent="0.3">
      <c r="H4" s="12" t="s">
        <v>221</v>
      </c>
    </row>
    <row r="5" spans="2:10" ht="21.75" customHeight="1" x14ac:dyDescent="0.3">
      <c r="B5" s="13" t="s">
        <v>222</v>
      </c>
      <c r="C5" s="14"/>
      <c r="D5" s="14"/>
      <c r="E5" s="14"/>
      <c r="H5" s="32" t="s">
        <v>223</v>
      </c>
      <c r="I5" s="15" t="s">
        <v>175</v>
      </c>
      <c r="J5" s="15" t="s">
        <v>224</v>
      </c>
    </row>
    <row r="6" spans="2:10" ht="24" customHeight="1" x14ac:dyDescent="0.3">
      <c r="B6" s="32" t="s">
        <v>225</v>
      </c>
      <c r="C6" s="32" t="s">
        <v>226</v>
      </c>
      <c r="D6" s="15" t="s">
        <v>227</v>
      </c>
      <c r="E6" s="15" t="s">
        <v>175</v>
      </c>
      <c r="F6" s="15" t="s">
        <v>224</v>
      </c>
      <c r="H6" s="55" t="s">
        <v>228</v>
      </c>
      <c r="I6" s="55" t="s">
        <v>229</v>
      </c>
      <c r="J6" s="55" t="s">
        <v>230</v>
      </c>
    </row>
    <row r="7" spans="2:10" ht="24" customHeight="1" x14ac:dyDescent="0.3">
      <c r="B7" s="56" t="s">
        <v>231</v>
      </c>
      <c r="C7" s="56" t="s">
        <v>228</v>
      </c>
      <c r="D7" s="33">
        <v>15000</v>
      </c>
      <c r="E7" s="57" t="str">
        <f t="shared" ref="E7:E14" si="0">IFERROR(VLOOKUP(C7,$H$6:$J$13,2,FALSE()),"—")</f>
        <v>GOPM (art. 31 N° 9 LIR)</v>
      </c>
      <c r="F7" s="58" t="str">
        <f t="shared" ref="F7:F14" si="1">IFERROR(VLOOKUP(C7,$H$6:$J$13,3,FALSE()),"—")</f>
        <v>NIIF 6: activo o gasto según política contable</v>
      </c>
      <c r="H7" s="55" t="s">
        <v>232</v>
      </c>
      <c r="I7" s="55" t="s">
        <v>233</v>
      </c>
      <c r="J7" s="55" t="s">
        <v>234</v>
      </c>
    </row>
    <row r="8" spans="2:10" ht="24" customHeight="1" x14ac:dyDescent="0.3">
      <c r="B8" s="56" t="s">
        <v>235</v>
      </c>
      <c r="C8" s="56" t="s">
        <v>232</v>
      </c>
      <c r="D8" s="33">
        <v>48000</v>
      </c>
      <c r="E8" s="57" t="str">
        <f t="shared" si="0"/>
        <v>Activo fijo (art. 31 N° 5 LIR)</v>
      </c>
      <c r="F8" s="58" t="str">
        <f t="shared" si="1"/>
        <v>NIC 16: activo de desarrollo, depreciado por unidades de producción</v>
      </c>
      <c r="H8" s="55" t="s">
        <v>236</v>
      </c>
      <c r="I8" s="55" t="s">
        <v>237</v>
      </c>
      <c r="J8" s="55" t="s">
        <v>238</v>
      </c>
    </row>
    <row r="9" spans="2:10" ht="24" customHeight="1" x14ac:dyDescent="0.3">
      <c r="B9" s="56" t="s">
        <v>239</v>
      </c>
      <c r="C9" s="56" t="s">
        <v>236</v>
      </c>
      <c r="D9" s="33">
        <v>22000</v>
      </c>
      <c r="E9" s="57" t="str">
        <f t="shared" si="0"/>
        <v>Costo del mineral (art. 30 LIR)</v>
      </c>
      <c r="F9" s="58" t="str">
        <f t="shared" si="1"/>
        <v>Parte del costo de producción del período</v>
      </c>
      <c r="H9" s="55" t="s">
        <v>240</v>
      </c>
      <c r="I9" s="55" t="s">
        <v>237</v>
      </c>
      <c r="J9" s="55" t="s">
        <v>241</v>
      </c>
    </row>
    <row r="10" spans="2:10" ht="24" customHeight="1" x14ac:dyDescent="0.3">
      <c r="B10" s="56" t="s">
        <v>242</v>
      </c>
      <c r="C10" s="56" t="s">
        <v>240</v>
      </c>
      <c r="D10" s="33">
        <v>310000</v>
      </c>
      <c r="E10" s="57" t="str">
        <f t="shared" si="0"/>
        <v>Costo del mineral (art. 30 LIR)</v>
      </c>
      <c r="F10" s="58" t="str">
        <f t="shared" si="1"/>
        <v>Costo de producción del período</v>
      </c>
      <c r="H10" s="55" t="s">
        <v>243</v>
      </c>
      <c r="I10" s="55" t="s">
        <v>229</v>
      </c>
      <c r="J10" s="55" t="s">
        <v>244</v>
      </c>
    </row>
    <row r="11" spans="2:10" ht="24" customHeight="1" x14ac:dyDescent="0.3">
      <c r="B11" s="56" t="s">
        <v>245</v>
      </c>
      <c r="C11" s="56" t="s">
        <v>243</v>
      </c>
      <c r="D11" s="33">
        <v>26000</v>
      </c>
      <c r="E11" s="57" t="str">
        <f t="shared" si="0"/>
        <v>GOPM (art. 31 N° 9 LIR)</v>
      </c>
      <c r="F11" s="58" t="str">
        <f t="shared" si="1"/>
        <v>Parte del costo de desarrollo de la mina</v>
      </c>
      <c r="H11" s="55" t="s">
        <v>246</v>
      </c>
      <c r="I11" s="55" t="s">
        <v>237</v>
      </c>
      <c r="J11" s="55" t="s">
        <v>247</v>
      </c>
    </row>
    <row r="12" spans="2:10" ht="24" customHeight="1" x14ac:dyDescent="0.3">
      <c r="B12" s="56" t="s">
        <v>248</v>
      </c>
      <c r="C12" s="56" t="s">
        <v>246</v>
      </c>
      <c r="D12" s="33">
        <v>34000</v>
      </c>
      <c r="E12" s="57" t="str">
        <f t="shared" si="0"/>
        <v>Costo del mineral (art. 30 LIR)</v>
      </c>
      <c r="F12" s="58" t="str">
        <f t="shared" si="1"/>
        <v>CINIIF 20: activo de desbroce si mejora el acceso a mineral futuro</v>
      </c>
      <c r="H12" s="55" t="s">
        <v>249</v>
      </c>
      <c r="I12" s="55" t="s">
        <v>233</v>
      </c>
      <c r="J12" s="55" t="s">
        <v>250</v>
      </c>
    </row>
    <row r="13" spans="2:10" ht="24" customHeight="1" x14ac:dyDescent="0.3">
      <c r="B13" s="56" t="s">
        <v>251</v>
      </c>
      <c r="C13" s="56" t="s">
        <v>249</v>
      </c>
      <c r="D13" s="33">
        <v>9000</v>
      </c>
      <c r="E13" s="57" t="str">
        <f t="shared" si="0"/>
        <v>Activo fijo (art. 31 N° 5 LIR)</v>
      </c>
      <c r="F13" s="58" t="str">
        <f t="shared" si="1"/>
        <v>NIC 16: activo de infraestructura</v>
      </c>
      <c r="H13" s="55" t="s">
        <v>252</v>
      </c>
      <c r="I13" s="55" t="s">
        <v>229</v>
      </c>
      <c r="J13" s="55" t="s">
        <v>253</v>
      </c>
    </row>
    <row r="14" spans="2:10" ht="24" customHeight="1" x14ac:dyDescent="0.3">
      <c r="B14" s="56" t="s">
        <v>254</v>
      </c>
      <c r="C14" s="56" t="s">
        <v>252</v>
      </c>
      <c r="D14" s="33">
        <v>3000</v>
      </c>
      <c r="E14" s="57" t="str">
        <f t="shared" si="0"/>
        <v>GOPM (art. 31 N° 9 LIR)</v>
      </c>
      <c r="F14" s="58" t="str">
        <f t="shared" si="1"/>
        <v>Según la naturaleza del desembolso (Oficios N° 297/1982 y N° 1.377/2005)</v>
      </c>
    </row>
    <row r="16" spans="2:10" x14ac:dyDescent="0.3">
      <c r="B16" s="13" t="s">
        <v>255</v>
      </c>
      <c r="C16" s="14"/>
      <c r="D16" s="14"/>
      <c r="E16" s="14"/>
    </row>
    <row r="17" spans="2:5" x14ac:dyDescent="0.3">
      <c r="B17" s="16" t="s">
        <v>229</v>
      </c>
      <c r="C17" s="35">
        <f>SUMIF($E$7:$E$14,B17,$D$7:$D$14)</f>
        <v>44000</v>
      </c>
    </row>
    <row r="18" spans="2:5" x14ac:dyDescent="0.3">
      <c r="B18" s="16" t="s">
        <v>233</v>
      </c>
      <c r="C18" s="35">
        <f>SUMIF($E$7:$E$14,B18,$D$7:$D$14)</f>
        <v>57000</v>
      </c>
    </row>
    <row r="19" spans="2:5" x14ac:dyDescent="0.3">
      <c r="B19" s="16" t="s">
        <v>237</v>
      </c>
      <c r="C19" s="35">
        <f>SUMIF($E$7:$E$14,B19,$D$7:$D$14)</f>
        <v>366000</v>
      </c>
    </row>
    <row r="20" spans="2:5" x14ac:dyDescent="0.3">
      <c r="B20" s="28" t="s">
        <v>256</v>
      </c>
      <c r="C20" s="37">
        <f>SUM(C17:C19)</f>
        <v>467000</v>
      </c>
    </row>
    <row r="21" spans="2:5" x14ac:dyDescent="0.3">
      <c r="B21" s="16" t="s">
        <v>257</v>
      </c>
      <c r="C21" s="35">
        <f>SUM(D7:D14)</f>
        <v>467000</v>
      </c>
    </row>
    <row r="22" spans="2:5" x14ac:dyDescent="0.3">
      <c r="B22" s="5" t="s">
        <v>258</v>
      </c>
      <c r="C22" s="59">
        <f>C20-C21</f>
        <v>0</v>
      </c>
    </row>
    <row r="24" spans="2:5" ht="45.75" customHeight="1" x14ac:dyDescent="0.3">
      <c r="B24" s="1" t="s">
        <v>259</v>
      </c>
      <c r="C24" s="1"/>
      <c r="D24" s="1"/>
      <c r="E24" s="1"/>
    </row>
    <row r="26" spans="2:5" x14ac:dyDescent="0.3">
      <c r="B26" s="8" t="s">
        <v>30</v>
      </c>
    </row>
  </sheetData>
  <mergeCells count="1">
    <mergeCell ref="B24:E24"/>
  </mergeCells>
  <dataValidations count="1">
    <dataValidation type="list" allowBlank="1" sqref="C7:C14" xr:uid="{00000000-0002-0000-0800-000000000000}">
      <formula1>"Reconocimiento,Desarrollo,Preparación,Explotación,Pre-stripping,Stripping en producción,Camino de infraestructura definitiva,Residual previo a la producción"</formula1>
      <formula2>0</formula2>
    </dataValidation>
  </dataValidations>
  <hyperlinks>
    <hyperlink ref="B3" r:id="rId1" location="'Índice'!B10" xr:uid="{00000000-0004-0000-0800-000000000000}"/>
  </hyperlinks>
  <pageMargins left="0.75" right="0.75" top="1" bottom="1" header="0.511811023622047" footer="0.5"/>
  <pageSetup orientation="landscape" horizontalDpi="300" verticalDpi="300"/>
  <headerFooter>
    <oddFooter>&amp;C&amp;8 &amp;K888888BBSC® · Calculadoras del blog minero 2026</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11</vt:i4>
      </vt:variant>
    </vt:vector>
  </HeadingPairs>
  <TitlesOfParts>
    <vt:vector size="22" baseType="lpstr">
      <vt:lpstr>Índice</vt:lpstr>
      <vt:lpstr>01_Despeje</vt:lpstr>
      <vt:lpstr>02_Umbral</vt:lpstr>
      <vt:lpstr>03_Tope</vt:lpstr>
      <vt:lpstr>04_GOPM</vt:lpstr>
      <vt:lpstr>05_Depreciacion</vt:lpstr>
      <vt:lpstr>06_Patentes</vt:lpstr>
      <vt:lpstr>07_Cierre</vt:lpstr>
      <vt:lpstr>08_Clasificador</vt:lpstr>
      <vt:lpstr>09_AdValorem_EEFF</vt:lpstr>
      <vt:lpstr>10_Invariabilidad</vt:lpstr>
      <vt:lpstr>'01_Despeje'!Área_de_impresión</vt:lpstr>
      <vt:lpstr>'02_Umbral'!Área_de_impresión</vt:lpstr>
      <vt:lpstr>'03_Tope'!Área_de_impresión</vt:lpstr>
      <vt:lpstr>'04_GOPM'!Área_de_impresión</vt:lpstr>
      <vt:lpstr>'05_Depreciacion'!Área_de_impresión</vt:lpstr>
      <vt:lpstr>'06_Patentes'!Área_de_impresión</vt:lpstr>
      <vt:lpstr>'07_Cierre'!Área_de_impresión</vt:lpstr>
      <vt:lpstr>'08_Clasificador'!Área_de_impresión</vt:lpstr>
      <vt:lpstr>'09_AdValorem_EEFF'!Área_de_impresión</vt:lpstr>
      <vt:lpstr>'10_Invariabilidad'!Área_de_impresión</vt:lpstr>
      <vt:lpstr>Índice!Área_de_impresión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Claudia Valdés Muñoz</cp:lastModifiedBy>
  <cp:revision>0</cp:revision>
  <dcterms:created xsi:type="dcterms:W3CDTF">2026-09-12T16:06:14Z</dcterms:created>
  <dcterms:modified xsi:type="dcterms:W3CDTF">2026-09-12T16:19:00Z</dcterms:modified>
  <dc:language>en-US</dc:language>
</cp:coreProperties>
</file>